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LIENTS\MS Consultants\25-0584-027 ODOT NE Truck Parking\04 Analysis, Calculations and Drafts\Drainage Calcs\Excel\Curb Cut\"/>
    </mc:Choice>
  </mc:AlternateContent>
  <xr:revisionPtr revIDLastSave="0" documentId="13_ncr:1_{CDCB3CB3-CE72-4F94-B569-927D613803E3}" xr6:coauthVersionLast="47" xr6:coauthVersionMax="47" xr10:uidLastSave="{00000000-0000-0000-0000-000000000000}"/>
  <bookViews>
    <workbookView xWindow="-38520" yWindow="-120" windowWidth="38640" windowHeight="21120" activeTab="1" xr2:uid="{E792D14F-F8E5-4B4E-9460-09EA8E7DF3A0}"/>
  </bookViews>
  <sheets>
    <sheet name="3-Foot" sheetId="3" r:id="rId1"/>
    <sheet name="5-Foot" sheetId="4" r:id="rId2"/>
    <sheet name="IDF" sheetId="2" r:id="rId3"/>
  </sheets>
  <externalReferences>
    <externalReference r:id="rId4"/>
  </externalReferences>
  <definedNames>
    <definedName name="_xlnm.Print_Area" localSheetId="0">'3-Foot'!$A$1:$V$42</definedName>
    <definedName name="_xlnm.Print_Area" localSheetId="1">'5-Foot'!$A$1:$V$40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4" l="1"/>
  <c r="H28" i="4" l="1"/>
  <c r="H26" i="4"/>
  <c r="H24" i="4"/>
  <c r="H22" i="4"/>
  <c r="H20" i="4"/>
  <c r="H30" i="4" l="1"/>
  <c r="H16" i="4"/>
  <c r="W16" i="3" l="1"/>
  <c r="T34" i="4"/>
  <c r="M34" i="4"/>
  <c r="L34" i="4"/>
  <c r="K34" i="4"/>
  <c r="I34" i="4"/>
  <c r="J34" i="4" s="1"/>
  <c r="P34" i="4" s="1"/>
  <c r="S34" i="4" s="1"/>
  <c r="D34" i="4"/>
  <c r="M30" i="4"/>
  <c r="L30" i="4"/>
  <c r="K30" i="4"/>
  <c r="I30" i="4"/>
  <c r="J30" i="4" s="1"/>
  <c r="P30" i="4" s="1"/>
  <c r="D30" i="4"/>
  <c r="M28" i="4"/>
  <c r="L28" i="4"/>
  <c r="K28" i="4"/>
  <c r="I28" i="4"/>
  <c r="J28" i="4" s="1"/>
  <c r="P28" i="4" s="1"/>
  <c r="D28" i="4"/>
  <c r="M26" i="4"/>
  <c r="L26" i="4"/>
  <c r="K26" i="4"/>
  <c r="I26" i="4"/>
  <c r="J26" i="4" s="1"/>
  <c r="P26" i="4" s="1"/>
  <c r="D26" i="4"/>
  <c r="M24" i="4"/>
  <c r="L24" i="4"/>
  <c r="K24" i="4"/>
  <c r="I24" i="4"/>
  <c r="J24" i="4" s="1"/>
  <c r="P24" i="4" s="1"/>
  <c r="D24" i="4"/>
  <c r="M22" i="4"/>
  <c r="L22" i="4"/>
  <c r="K22" i="4"/>
  <c r="I22" i="4"/>
  <c r="J22" i="4" s="1"/>
  <c r="P22" i="4" s="1"/>
  <c r="D22" i="4"/>
  <c r="M20" i="4"/>
  <c r="L20" i="4"/>
  <c r="K20" i="4"/>
  <c r="I20" i="4"/>
  <c r="J20" i="4" s="1"/>
  <c r="P20" i="4" s="1"/>
  <c r="D20" i="4"/>
  <c r="M18" i="4"/>
  <c r="L18" i="4"/>
  <c r="K18" i="4"/>
  <c r="I18" i="4"/>
  <c r="J18" i="4" s="1"/>
  <c r="P18" i="4" s="1"/>
  <c r="D18" i="4"/>
  <c r="M16" i="4"/>
  <c r="L16" i="4"/>
  <c r="K16" i="4"/>
  <c r="I16" i="4"/>
  <c r="J16" i="4" s="1"/>
  <c r="P16" i="4" s="1"/>
  <c r="S16" i="4" s="1"/>
  <c r="Y16" i="4" s="1"/>
  <c r="D16" i="4"/>
  <c r="T36" i="3"/>
  <c r="T32" i="3"/>
  <c r="T30" i="3"/>
  <c r="T28" i="3"/>
  <c r="T26" i="3"/>
  <c r="T24" i="3"/>
  <c r="M36" i="3"/>
  <c r="L36" i="3"/>
  <c r="K36" i="3"/>
  <c r="I36" i="3"/>
  <c r="J36" i="3" s="1"/>
  <c r="P36" i="3" s="1"/>
  <c r="S36" i="3" s="1"/>
  <c r="D36" i="3"/>
  <c r="T22" i="3"/>
  <c r="T20" i="3"/>
  <c r="T18" i="3"/>
  <c r="T16" i="3"/>
  <c r="I32" i="3"/>
  <c r="J32" i="3" s="1"/>
  <c r="P32" i="3" s="1"/>
  <c r="I30" i="3"/>
  <c r="J30" i="3" s="1"/>
  <c r="P30" i="3" s="1"/>
  <c r="I28" i="3"/>
  <c r="I26" i="3"/>
  <c r="J26" i="3" s="1"/>
  <c r="P26" i="3" s="1"/>
  <c r="I24" i="3"/>
  <c r="J24" i="3" s="1"/>
  <c r="P24" i="3" s="1"/>
  <c r="I22" i="3"/>
  <c r="J22" i="3" s="1"/>
  <c r="P22" i="3" s="1"/>
  <c r="I20" i="3"/>
  <c r="J20" i="3" s="1"/>
  <c r="P20" i="3" s="1"/>
  <c r="I18" i="3"/>
  <c r="J18" i="3" s="1"/>
  <c r="P18" i="3" s="1"/>
  <c r="I16" i="3"/>
  <c r="J16" i="3" s="1"/>
  <c r="P16" i="3" s="1"/>
  <c r="S16" i="3" s="1"/>
  <c r="M32" i="3"/>
  <c r="L32" i="3"/>
  <c r="K32" i="3"/>
  <c r="D32" i="3"/>
  <c r="M30" i="3"/>
  <c r="L30" i="3"/>
  <c r="K30" i="3"/>
  <c r="D30" i="3"/>
  <c r="M28" i="3"/>
  <c r="L28" i="3"/>
  <c r="K28" i="3"/>
  <c r="D28" i="3"/>
  <c r="M26" i="3"/>
  <c r="L26" i="3"/>
  <c r="K26" i="3"/>
  <c r="D26" i="3"/>
  <c r="M24" i="3"/>
  <c r="L24" i="3"/>
  <c r="K24" i="3"/>
  <c r="D24" i="3"/>
  <c r="M22" i="3"/>
  <c r="L22" i="3"/>
  <c r="K22" i="3"/>
  <c r="D22" i="3"/>
  <c r="M20" i="3"/>
  <c r="L20" i="3"/>
  <c r="K20" i="3"/>
  <c r="D20" i="3"/>
  <c r="M18" i="3"/>
  <c r="L18" i="3"/>
  <c r="K18" i="3"/>
  <c r="D18" i="3"/>
  <c r="M16" i="3"/>
  <c r="L16" i="3"/>
  <c r="K16" i="3"/>
  <c r="D16" i="3"/>
  <c r="T16" i="4" l="1"/>
  <c r="R16" i="4"/>
  <c r="S18" i="4" s="1"/>
  <c r="W16" i="4"/>
  <c r="R16" i="3"/>
  <c r="S18" i="3" s="1"/>
  <c r="J28" i="3"/>
  <c r="P28" i="3" s="1"/>
  <c r="U16" i="4" l="1"/>
  <c r="AB16" i="4"/>
  <c r="Z16" i="4"/>
  <c r="AA16" i="4" s="1"/>
  <c r="Y18" i="4"/>
  <c r="T18" i="4" s="1"/>
  <c r="R18" i="4"/>
  <c r="S20" i="4" s="1"/>
  <c r="W18" i="4"/>
  <c r="R18" i="3"/>
  <c r="S20" i="3" s="1"/>
  <c r="W18" i="3"/>
  <c r="AB18" i="4" l="1"/>
  <c r="Z18" i="4"/>
  <c r="AA18" i="4" s="1"/>
  <c r="U18" i="4"/>
  <c r="Y20" i="4"/>
  <c r="T20" i="4" s="1"/>
  <c r="R20" i="3"/>
  <c r="S22" i="3" s="1"/>
  <c r="W20" i="3"/>
  <c r="R20" i="4"/>
  <c r="S22" i="4" s="1"/>
  <c r="W20" i="4"/>
  <c r="AB20" i="4" l="1"/>
  <c r="Z20" i="4"/>
  <c r="AA20" i="4" s="1"/>
  <c r="U20" i="4"/>
  <c r="Y22" i="4"/>
  <c r="T22" i="4" s="1"/>
  <c r="R22" i="4"/>
  <c r="S24" i="4" s="1"/>
  <c r="W22" i="4"/>
  <c r="R22" i="3"/>
  <c r="S24" i="3" s="1"/>
  <c r="W22" i="3"/>
  <c r="AB22" i="4" l="1"/>
  <c r="Z22" i="4"/>
  <c r="AA22" i="4" s="1"/>
  <c r="U22" i="4"/>
  <c r="Y24" i="4"/>
  <c r="T24" i="4" s="1"/>
  <c r="W24" i="3"/>
  <c r="R24" i="3"/>
  <c r="S26" i="3" s="1"/>
  <c r="R24" i="4"/>
  <c r="S26" i="4" s="1"/>
  <c r="W24" i="4"/>
  <c r="AB24" i="4" l="1"/>
  <c r="Z24" i="4"/>
  <c r="AA24" i="4" s="1"/>
  <c r="U24" i="4"/>
  <c r="Y26" i="4"/>
  <c r="T26" i="4" s="1"/>
  <c r="R26" i="4"/>
  <c r="S28" i="4" s="1"/>
  <c r="W26" i="4"/>
  <c r="R26" i="3"/>
  <c r="S28" i="3" s="1"/>
  <c r="W26" i="3"/>
  <c r="AB26" i="4" l="1"/>
  <c r="Z26" i="4"/>
  <c r="AA26" i="4" s="1"/>
  <c r="U26" i="4"/>
  <c r="Y28" i="4"/>
  <c r="T28" i="4" s="1"/>
  <c r="R28" i="3"/>
  <c r="S30" i="3" s="1"/>
  <c r="W28" i="3"/>
  <c r="R28" i="4"/>
  <c r="S30" i="4" s="1"/>
  <c r="W28" i="4"/>
  <c r="AB28" i="4" l="1"/>
  <c r="Z28" i="4"/>
  <c r="AA28" i="4" s="1"/>
  <c r="U28" i="4"/>
  <c r="R30" i="3"/>
  <c r="S32" i="3" s="1"/>
  <c r="W30" i="3"/>
  <c r="Y30" i="4" l="1"/>
  <c r="T30" i="4" s="1"/>
  <c r="Z30" i="4" l="1"/>
  <c r="AA30" i="4" s="1"/>
  <c r="AB30" i="4"/>
  <c r="U30" i="4"/>
</calcChain>
</file>

<file path=xl/sharedStrings.xml><?xml version="1.0" encoding="utf-8"?>
<sst xmlns="http://schemas.openxmlformats.org/spreadsheetml/2006/main" count="184" uniqueCount="81">
  <si>
    <t>STATION</t>
  </si>
  <si>
    <t>COEF</t>
  </si>
  <si>
    <t>AREA</t>
  </si>
  <si>
    <t>CONC. TIME</t>
  </si>
  <si>
    <t>GUTTER TIME</t>
  </si>
  <si>
    <t>LONG. SLOPE</t>
  </si>
  <si>
    <t>GUTTER SLOPE</t>
  </si>
  <si>
    <t>PAVT. SLOPE</t>
  </si>
  <si>
    <t>0+00</t>
  </si>
  <si>
    <t>0+51</t>
  </si>
  <si>
    <t>1+02</t>
  </si>
  <si>
    <t>1+53</t>
  </si>
  <si>
    <t>2+04</t>
  </si>
  <si>
    <t>2+55</t>
  </si>
  <si>
    <t>3+06</t>
  </si>
  <si>
    <t>3+57</t>
  </si>
  <si>
    <t>4+08</t>
  </si>
  <si>
    <t>4+25</t>
  </si>
  <si>
    <t>(ft.)</t>
  </si>
  <si>
    <t>(ft./ft.)</t>
  </si>
  <si>
    <t>(acres)</t>
  </si>
  <si>
    <t>(min.)</t>
  </si>
  <si>
    <t>RUNOFF</t>
  </si>
  <si>
    <t>CURB CUT WIDTH</t>
  </si>
  <si>
    <t>A</t>
  </si>
  <si>
    <t>B</t>
  </si>
  <si>
    <t>C</t>
  </si>
  <si>
    <t>D</t>
  </si>
  <si>
    <t>a</t>
  </si>
  <si>
    <t>b</t>
  </si>
  <si>
    <t>c</t>
  </si>
  <si>
    <t>Freq</t>
  </si>
  <si>
    <t>Area</t>
  </si>
  <si>
    <t>(in./hrs.)</t>
  </si>
  <si>
    <t>(cfs.)</t>
  </si>
  <si>
    <t>Cut:</t>
  </si>
  <si>
    <t>Avg V</t>
  </si>
  <si>
    <t>TOTAL FLOW</t>
  </si>
  <si>
    <t>BYPASS FLOW</t>
  </si>
  <si>
    <t>INTERCPTD FLOW</t>
  </si>
  <si>
    <t>LOCAL DEPRESS.</t>
  </si>
  <si>
    <t>GUTTER WIDTH</t>
  </si>
  <si>
    <t>0+85</t>
  </si>
  <si>
    <t>(from Hydraflow Express)</t>
  </si>
  <si>
    <t>CURB CUT SPACING DESIGN</t>
  </si>
  <si>
    <t>DEPTH FLOW</t>
  </si>
  <si>
    <t>PAVT. SPREAD</t>
  </si>
  <si>
    <t>RAIN
FALL</t>
  </si>
  <si>
    <t>Begin</t>
  </si>
  <si>
    <t>Sag</t>
  </si>
  <si>
    <t>Rainfall Area:</t>
  </si>
  <si>
    <t>Description:</t>
  </si>
  <si>
    <t>NE Truck Parking - Site 12 - Truck Parking Lot</t>
  </si>
  <si>
    <t>PID:</t>
  </si>
  <si>
    <t>Date:</t>
  </si>
  <si>
    <t>Project:</t>
  </si>
  <si>
    <t>NE Truck Parking</t>
  </si>
  <si>
    <t>Storm Frequency (yr.):</t>
  </si>
  <si>
    <t>Total Allow. Spread (ft.):</t>
  </si>
  <si>
    <t>******</t>
  </si>
  <si>
    <t>Allowable Depth (ft.):</t>
  </si>
  <si>
    <t>Designer:</t>
  </si>
  <si>
    <t>KLG</t>
  </si>
  <si>
    <t>TIME
USED</t>
  </si>
  <si>
    <t>GUTTER
LENGTH</t>
  </si>
  <si>
    <t>Depth Flow</t>
  </si>
  <si>
    <t>Flow through Weir</t>
  </si>
  <si>
    <t>Velocity through Weir</t>
  </si>
  <si>
    <t>cfs</t>
  </si>
  <si>
    <t>fps</t>
  </si>
  <si>
    <t>ft</t>
  </si>
  <si>
    <t>0+48</t>
  </si>
  <si>
    <t>0+99</t>
  </si>
  <si>
    <t>1+50</t>
  </si>
  <si>
    <t>2+01</t>
  </si>
  <si>
    <t>2+52</t>
  </si>
  <si>
    <t>3+03</t>
  </si>
  <si>
    <t>3+54</t>
  </si>
  <si>
    <t>4+02</t>
  </si>
  <si>
    <t>Location:</t>
  </si>
  <si>
    <t>SUM-IR-77-VACANT REST AREA 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</si>
</sst>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20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4" fontId="5" fillId="0" borderId="0" xfId="0" applyNumberFormat="1" applyFont="1" applyAlignment="1">
      <alignment horizontal="left"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horizontal="left" vertical="center" indent="1"/>
    </xf>
    <xf numFmtId="0" fontId="7" fillId="0" borderId="0" xfId="0" applyFont="1" applyAlignment="1">
      <alignment horizontal="right" vertical="center"/>
    </xf>
    <xf numFmtId="2" fontId="5" fillId="0" borderId="0" xfId="0" applyNumberFormat="1" applyFont="1" applyAlignment="1">
      <alignment horizontal="left" vertical="center" indent="1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left" vertical="center"/>
    </xf>
    <xf numFmtId="0" fontId="6" fillId="0" borderId="1" xfId="0" applyFont="1" applyBorder="1"/>
    <xf numFmtId="9" fontId="3" fillId="0" borderId="0" xfId="1" applyFont="1"/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9" fontId="3" fillId="0" borderId="0" xfId="1" applyFont="1" applyAlignment="1">
      <alignment horizontal="center" vertical="center"/>
    </xf>
    <xf numFmtId="2" fontId="3" fillId="0" borderId="0" xfId="0" applyNumberFormat="1" applyFont="1"/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2" fontId="5" fillId="0" borderId="0" xfId="0" applyNumberFormat="1" applyFont="1" applyAlignment="1">
      <alignment horizontal="center" vertical="center"/>
    </xf>
    <xf numFmtId="0" fontId="7" fillId="0" borderId="2" xfId="0" applyFont="1" applyBorder="1" applyAlignment="1">
      <alignment horizontal="right" vertical="center"/>
    </xf>
    <xf numFmtId="14" fontId="5" fillId="0" borderId="2" xfId="0" applyNumberFormat="1" applyFont="1" applyBorder="1" applyAlignment="1">
      <alignment horizontal="left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9525</xdr:colOff>
      <xdr:row>1</xdr:row>
      <xdr:rowOff>9525</xdr:rowOff>
    </xdr:from>
    <xdr:to>
      <xdr:col>12</xdr:col>
      <xdr:colOff>549346</xdr:colOff>
      <xdr:row>25</xdr:row>
      <xdr:rowOff>161925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D93DB14-FA7E-89B1-F87C-523EB3309A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57525" y="200025"/>
          <a:ext cx="4807021" cy="47244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CLIENTS\MS%20Consultants\25-0584-027%20ODOT%20NE%20Truck%20Parking\04%20Analysis,%20Calculations%20and%20Drafts\Drainage%20Calcs\Excel\Time%20of%20Concentration%20and%20Peak%20Flow.xlsx" TargetMode="External"/><Relationship Id="rId1" Type="http://schemas.openxmlformats.org/officeDocument/2006/relationships/externalLinkPath" Target="/CLIENTS/MS%20Consultants/25-0584-027%20ODOT%20NE%20Truck%20Parking/04%20Analysis,%20Calculations%20and%20Drafts/Drainage%20Calcs/Excel/Time%20of%20Concentration%20and%20Peak%20Flo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DOT Rain - Ramp S"/>
      <sheetName val="ODOT ToC (DA 1)- Ramp S"/>
      <sheetName val="ODOT ToC (DA 2)- Ramp S"/>
      <sheetName val="ODOT ToC (DA 3)- Truck Parking"/>
      <sheetName val="ODOT ToC (DA 4)- Truck Park"/>
      <sheetName val="ODOT ToC (DA5-DA9)-Truck Park"/>
      <sheetName val="ODOT ToC (DA 10)-Truck Parking"/>
      <sheetName val="SCS lag"/>
      <sheetName val="TR55 ToC"/>
      <sheetName val="DA-RC-TOC Table"/>
    </sheetNames>
    <sheetDataSet>
      <sheetData sheetId="0"/>
      <sheetData sheetId="1"/>
      <sheetData sheetId="2"/>
      <sheetData sheetId="3">
        <row r="34">
          <cell r="G34">
            <v>10</v>
          </cell>
        </row>
      </sheetData>
      <sheetData sheetId="4">
        <row r="34">
          <cell r="G34">
            <v>10</v>
          </cell>
        </row>
      </sheetData>
      <sheetData sheetId="5">
        <row r="34">
          <cell r="G34">
            <v>10</v>
          </cell>
        </row>
      </sheetData>
      <sheetData sheetId="6">
        <row r="34">
          <cell r="G34">
            <v>10</v>
          </cell>
        </row>
      </sheetData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A705A-73E9-4912-9EDC-9535D0246FEC}">
  <dimension ref="A1:W44"/>
  <sheetViews>
    <sheetView view="pageBreakPreview" zoomScale="115" zoomScaleNormal="100" zoomScaleSheetLayoutView="115" workbookViewId="0">
      <selection activeCell="A34" sqref="A34:XFD36"/>
    </sheetView>
  </sheetViews>
  <sheetFormatPr defaultRowHeight="12.75" x14ac:dyDescent="0.2"/>
  <cols>
    <col min="1" max="2" width="3.5703125" style="3" customWidth="1"/>
    <col min="3" max="3" width="2.5703125" style="3" customWidth="1"/>
    <col min="4" max="4" width="8.28515625" style="3" customWidth="1"/>
    <col min="5" max="5" width="6.85546875" style="3" customWidth="1"/>
    <col min="6" max="7" width="6" style="3" customWidth="1"/>
    <col min="8" max="8" width="5.85546875" style="3" customWidth="1"/>
    <col min="9" max="9" width="6.7109375" style="3" customWidth="1"/>
    <col min="10" max="10" width="5.7109375" style="3" customWidth="1"/>
    <col min="11" max="13" width="6.42578125" style="3" customWidth="1"/>
    <col min="14" max="14" width="6.7109375" style="3" customWidth="1"/>
    <col min="15" max="15" width="7.7109375" style="3" customWidth="1"/>
    <col min="16" max="16" width="6.42578125" style="3" customWidth="1"/>
    <col min="17" max="17" width="8.5703125" style="3" customWidth="1"/>
    <col min="18" max="19" width="6.42578125" style="3" customWidth="1"/>
    <col min="20" max="20" width="5.7109375" style="3" customWidth="1"/>
    <col min="21" max="21" width="6.42578125" style="3" customWidth="1"/>
    <col min="22" max="22" width="4.85546875" style="4" customWidth="1"/>
    <col min="23" max="16384" width="9.140625" style="4"/>
  </cols>
  <sheetData>
    <row r="1" spans="1:23" ht="26.25" x14ac:dyDescent="0.2">
      <c r="A1" s="35" t="s">
        <v>44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</row>
    <row r="2" spans="1:23" ht="17.25" customHeight="1" thickBo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22"/>
    </row>
    <row r="3" spans="1:23" ht="15" customHeight="1" x14ac:dyDescent="0.2">
      <c r="A3" s="8" t="s">
        <v>53</v>
      </c>
      <c r="B3" s="29">
        <v>122880</v>
      </c>
      <c r="C3" s="29"/>
      <c r="D3" s="13" t="s">
        <v>54</v>
      </c>
      <c r="E3" s="10">
        <v>45909</v>
      </c>
      <c r="F3" s="4"/>
      <c r="G3" s="13" t="s">
        <v>55</v>
      </c>
      <c r="H3" s="9" t="s">
        <v>56</v>
      </c>
      <c r="I3" s="4"/>
      <c r="J3" s="4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7"/>
    </row>
    <row r="4" spans="1:23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7"/>
    </row>
    <row r="5" spans="1:23" x14ac:dyDescent="0.2">
      <c r="A5" s="8" t="s">
        <v>51</v>
      </c>
      <c r="B5" s="8"/>
      <c r="C5" s="8"/>
      <c r="D5" s="9" t="s">
        <v>52</v>
      </c>
      <c r="E5" s="6"/>
      <c r="F5" s="6"/>
      <c r="G5" s="6"/>
      <c r="H5" s="6"/>
      <c r="I5" s="6"/>
      <c r="J5" s="6"/>
      <c r="K5" s="6"/>
      <c r="L5" s="6"/>
      <c r="M5" s="6"/>
      <c r="N5" s="4"/>
      <c r="O5" s="4"/>
      <c r="P5" s="4"/>
      <c r="Q5" s="4"/>
      <c r="R5" s="6"/>
      <c r="S5" s="13" t="s">
        <v>61</v>
      </c>
      <c r="T5" s="14" t="s">
        <v>62</v>
      </c>
      <c r="U5" s="6"/>
      <c r="V5" s="7"/>
    </row>
    <row r="6" spans="1:23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4"/>
      <c r="O6" s="4"/>
      <c r="P6" s="6"/>
      <c r="Q6" s="6"/>
      <c r="R6" s="6"/>
      <c r="S6" s="6"/>
      <c r="T6" s="6"/>
      <c r="U6" s="6"/>
      <c r="V6" s="7"/>
    </row>
    <row r="7" spans="1:23" x14ac:dyDescent="0.2">
      <c r="A7" s="11" t="s">
        <v>50</v>
      </c>
      <c r="B7" s="11"/>
      <c r="C7" s="11"/>
      <c r="D7" s="9" t="s">
        <v>24</v>
      </c>
      <c r="E7" s="6"/>
      <c r="F7" s="4"/>
      <c r="G7" s="4"/>
      <c r="H7" s="13" t="s">
        <v>57</v>
      </c>
      <c r="I7" s="12">
        <v>2</v>
      </c>
      <c r="J7" s="4"/>
      <c r="K7" s="4"/>
      <c r="L7" s="4"/>
      <c r="M7" s="13" t="s">
        <v>58</v>
      </c>
      <c r="N7" s="14">
        <v>0</v>
      </c>
      <c r="O7" s="4"/>
      <c r="P7" s="4"/>
      <c r="Q7" s="4"/>
      <c r="R7" s="6"/>
      <c r="S7" s="13" t="s">
        <v>60</v>
      </c>
      <c r="T7" s="14">
        <v>0.75</v>
      </c>
      <c r="U7" s="6"/>
      <c r="V7" s="7"/>
    </row>
    <row r="8" spans="1:23" ht="6" customHeight="1" thickBot="1" x14ac:dyDescent="0.25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22"/>
    </row>
    <row r="9" spans="1:23" ht="10.5" customHeight="1" x14ac:dyDescent="0.2">
      <c r="A9" s="30" t="s">
        <v>0</v>
      </c>
      <c r="B9" s="30"/>
      <c r="C9" s="30"/>
      <c r="D9" s="30" t="s">
        <v>23</v>
      </c>
      <c r="E9" s="30" t="s">
        <v>64</v>
      </c>
      <c r="F9" s="34" t="s">
        <v>22</v>
      </c>
      <c r="G9" s="34"/>
      <c r="H9" s="30" t="s">
        <v>3</v>
      </c>
      <c r="I9" s="30" t="s">
        <v>4</v>
      </c>
      <c r="J9" s="30" t="s">
        <v>63</v>
      </c>
      <c r="K9" s="30" t="s">
        <v>5</v>
      </c>
      <c r="L9" s="30" t="s">
        <v>6</v>
      </c>
      <c r="M9" s="30" t="s">
        <v>7</v>
      </c>
      <c r="N9" s="30" t="s">
        <v>41</v>
      </c>
      <c r="O9" s="30" t="s">
        <v>40</v>
      </c>
      <c r="P9" s="30" t="s">
        <v>47</v>
      </c>
      <c r="Q9" s="30" t="s">
        <v>39</v>
      </c>
      <c r="R9" s="30" t="s">
        <v>38</v>
      </c>
      <c r="S9" s="30" t="s">
        <v>37</v>
      </c>
      <c r="T9" s="30" t="s">
        <v>45</v>
      </c>
      <c r="U9" s="30" t="s">
        <v>46</v>
      </c>
      <c r="V9" s="7"/>
    </row>
    <row r="10" spans="1:23" s="5" customFormat="1" ht="10.5" customHeight="1" x14ac:dyDescent="0.2">
      <c r="A10" s="31"/>
      <c r="B10" s="31"/>
      <c r="C10" s="31"/>
      <c r="D10" s="31"/>
      <c r="E10" s="31"/>
      <c r="F10" s="16" t="s">
        <v>1</v>
      </c>
      <c r="G10" s="16" t="s">
        <v>2</v>
      </c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17"/>
    </row>
    <row r="11" spans="1:23" x14ac:dyDescent="0.2">
      <c r="A11" s="32"/>
      <c r="B11" s="32"/>
      <c r="C11" s="32"/>
      <c r="D11" s="18" t="s">
        <v>18</v>
      </c>
      <c r="E11" s="18" t="s">
        <v>18</v>
      </c>
      <c r="F11" s="18"/>
      <c r="G11" s="18" t="s">
        <v>20</v>
      </c>
      <c r="H11" s="18" t="s">
        <v>21</v>
      </c>
      <c r="I11" s="18" t="s">
        <v>21</v>
      </c>
      <c r="J11" s="18" t="s">
        <v>21</v>
      </c>
      <c r="K11" s="18" t="s">
        <v>19</v>
      </c>
      <c r="L11" s="18" t="s">
        <v>19</v>
      </c>
      <c r="M11" s="18" t="s">
        <v>19</v>
      </c>
      <c r="N11" s="18" t="s">
        <v>18</v>
      </c>
      <c r="O11" s="18" t="s">
        <v>18</v>
      </c>
      <c r="P11" s="18" t="s">
        <v>33</v>
      </c>
      <c r="Q11" s="18" t="s">
        <v>34</v>
      </c>
      <c r="R11" s="18" t="s">
        <v>34</v>
      </c>
      <c r="S11" s="18" t="s">
        <v>34</v>
      </c>
      <c r="T11" s="18" t="s">
        <v>18</v>
      </c>
      <c r="U11" s="18" t="s">
        <v>34</v>
      </c>
      <c r="V11" s="7"/>
    </row>
    <row r="12" spans="1:23" ht="6.75" customHeight="1" thickBot="1" x14ac:dyDescent="0.25">
      <c r="A12" s="33"/>
      <c r="B12" s="33"/>
      <c r="C12" s="33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22"/>
    </row>
    <row r="13" spans="1:23" ht="15" customHeight="1" x14ac:dyDescent="0.2">
      <c r="A13" s="29"/>
      <c r="B13" s="29"/>
      <c r="C13" s="29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7"/>
    </row>
    <row r="14" spans="1:23" x14ac:dyDescent="0.2">
      <c r="A14" s="28" t="s">
        <v>8</v>
      </c>
      <c r="B14" s="28"/>
      <c r="C14" s="28"/>
      <c r="D14" s="6" t="s">
        <v>48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7"/>
    </row>
    <row r="15" spans="1:23" x14ac:dyDescent="0.2">
      <c r="A15" s="28"/>
      <c r="B15" s="28"/>
      <c r="C15" s="28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7"/>
    </row>
    <row r="16" spans="1:23" x14ac:dyDescent="0.2">
      <c r="A16" s="28" t="s">
        <v>9</v>
      </c>
      <c r="B16" s="28"/>
      <c r="C16" s="28"/>
      <c r="D16" s="6">
        <f>$D$44</f>
        <v>3</v>
      </c>
      <c r="E16" s="19">
        <v>51</v>
      </c>
      <c r="F16" s="19">
        <v>0.9</v>
      </c>
      <c r="G16" s="6">
        <v>0.23</v>
      </c>
      <c r="H16" s="19">
        <v>15</v>
      </c>
      <c r="I16" s="19">
        <f>E16/($I$44*60)</f>
        <v>0.59440559440559437</v>
      </c>
      <c r="J16" s="19">
        <f>H16+I16</f>
        <v>15.594405594405595</v>
      </c>
      <c r="K16" s="20">
        <f>$K$44</f>
        <v>5.0000000000000001E-3</v>
      </c>
      <c r="L16" s="20">
        <f>$L$44</f>
        <v>1.2E-2</v>
      </c>
      <c r="M16" s="20">
        <f>$L$44</f>
        <v>1.2E-2</v>
      </c>
      <c r="N16" s="19">
        <v>0</v>
      </c>
      <c r="O16" s="20">
        <v>0</v>
      </c>
      <c r="P16" s="19">
        <f>IDF!$C$3/(('3-Foot'!J16+IDF!$D$3)^IDF!$E$3)</f>
        <v>2.9496000794001183</v>
      </c>
      <c r="Q16" s="19">
        <v>0.17</v>
      </c>
      <c r="R16" s="19">
        <f>S16-Q16</f>
        <v>0.44056721643582442</v>
      </c>
      <c r="S16" s="19">
        <f>F16*P16*G16</f>
        <v>0.61056721643582446</v>
      </c>
      <c r="T16" s="19">
        <f>1.32/12</f>
        <v>0.11</v>
      </c>
      <c r="U16" s="19">
        <v>9.17</v>
      </c>
      <c r="V16" s="7"/>
      <c r="W16" s="23">
        <f t="shared" ref="W16:W28" si="0">Q16/S16</f>
        <v>0.27842962318280379</v>
      </c>
    </row>
    <row r="17" spans="1:23" x14ac:dyDescent="0.2">
      <c r="A17" s="28"/>
      <c r="B17" s="28"/>
      <c r="C17" s="28"/>
      <c r="D17" s="6"/>
      <c r="E17" s="19"/>
      <c r="F17" s="19"/>
      <c r="G17" s="6"/>
      <c r="H17" s="6"/>
      <c r="I17" s="6"/>
      <c r="J17" s="6"/>
      <c r="K17" s="20"/>
      <c r="L17" s="20"/>
      <c r="M17" s="20"/>
      <c r="N17" s="6"/>
      <c r="O17" s="6"/>
      <c r="P17" s="6"/>
      <c r="Q17" s="6"/>
      <c r="R17" s="6"/>
      <c r="S17" s="6"/>
      <c r="T17" s="6"/>
      <c r="U17" s="6"/>
      <c r="V17" s="7"/>
      <c r="W17" s="23"/>
    </row>
    <row r="18" spans="1:23" x14ac:dyDescent="0.2">
      <c r="A18" s="28" t="s">
        <v>10</v>
      </c>
      <c r="B18" s="28"/>
      <c r="C18" s="28"/>
      <c r="D18" s="6">
        <f>$D$44</f>
        <v>3</v>
      </c>
      <c r="E18" s="19">
        <v>102</v>
      </c>
      <c r="F18" s="19">
        <v>0.9</v>
      </c>
      <c r="G18" s="6">
        <v>0.24</v>
      </c>
      <c r="H18" s="19">
        <v>15</v>
      </c>
      <c r="I18" s="19">
        <f>E18/($I$44*60)</f>
        <v>1.1888111888111887</v>
      </c>
      <c r="J18" s="19">
        <f>H18+I18</f>
        <v>16.18881118881119</v>
      </c>
      <c r="K18" s="20">
        <f>$K$44</f>
        <v>5.0000000000000001E-3</v>
      </c>
      <c r="L18" s="20">
        <f>$L$44</f>
        <v>1.2E-2</v>
      </c>
      <c r="M18" s="20">
        <f>$L$44</f>
        <v>1.2E-2</v>
      </c>
      <c r="N18" s="19">
        <v>0</v>
      </c>
      <c r="O18" s="20">
        <v>0</v>
      </c>
      <c r="P18" s="19">
        <f>IDF!$C$3/(('3-Foot'!J18+IDF!$D$3)^IDF!$E$3)</f>
        <v>2.8897092962868474</v>
      </c>
      <c r="Q18" s="19">
        <v>0.24</v>
      </c>
      <c r="R18" s="19">
        <f t="shared" ref="R18" si="1">S18-Q18</f>
        <v>0.82474442443378337</v>
      </c>
      <c r="S18" s="19">
        <f>F18*P18*G18+R16</f>
        <v>1.0647444244337834</v>
      </c>
      <c r="T18" s="19">
        <f>1.62/12</f>
        <v>0.13500000000000001</v>
      </c>
      <c r="U18" s="19">
        <v>11.28</v>
      </c>
      <c r="V18" s="7"/>
      <c r="W18" s="23">
        <f t="shared" si="0"/>
        <v>0.2254062049938686</v>
      </c>
    </row>
    <row r="19" spans="1:23" x14ac:dyDescent="0.2">
      <c r="A19" s="28"/>
      <c r="B19" s="28"/>
      <c r="C19" s="28"/>
      <c r="D19" s="6"/>
      <c r="E19" s="19"/>
      <c r="F19" s="19"/>
      <c r="G19" s="6"/>
      <c r="H19" s="6"/>
      <c r="I19" s="6"/>
      <c r="J19" s="6"/>
      <c r="K19" s="20"/>
      <c r="L19" s="20"/>
      <c r="M19" s="20"/>
      <c r="N19" s="6"/>
      <c r="O19" s="6"/>
      <c r="P19" s="6"/>
      <c r="Q19" s="6"/>
      <c r="R19" s="6"/>
      <c r="S19" s="6"/>
      <c r="T19" s="6"/>
      <c r="U19" s="6"/>
      <c r="V19" s="7"/>
      <c r="W19" s="23"/>
    </row>
    <row r="20" spans="1:23" x14ac:dyDescent="0.2">
      <c r="A20" s="28" t="s">
        <v>11</v>
      </c>
      <c r="B20" s="28"/>
      <c r="C20" s="28"/>
      <c r="D20" s="6">
        <f>$D$44</f>
        <v>3</v>
      </c>
      <c r="E20" s="19">
        <v>153</v>
      </c>
      <c r="F20" s="19">
        <v>0.9</v>
      </c>
      <c r="G20" s="6">
        <v>0.24</v>
      </c>
      <c r="H20" s="19">
        <v>15</v>
      </c>
      <c r="I20" s="19">
        <f>E20/($I$44*60)</f>
        <v>1.7832167832167833</v>
      </c>
      <c r="J20" s="19">
        <f>H20+I20</f>
        <v>16.783216783216783</v>
      </c>
      <c r="K20" s="20">
        <f>$K$44</f>
        <v>5.0000000000000001E-3</v>
      </c>
      <c r="L20" s="20">
        <f>$L$44</f>
        <v>1.2E-2</v>
      </c>
      <c r="M20" s="20">
        <f>$L$44</f>
        <v>1.2E-2</v>
      </c>
      <c r="N20" s="19">
        <v>0</v>
      </c>
      <c r="O20" s="20">
        <v>0</v>
      </c>
      <c r="P20" s="19">
        <f>IDF!$C$3/(('3-Foot'!J20+IDF!$D$3)^IDF!$E$3)</f>
        <v>2.8323894982543081</v>
      </c>
      <c r="Q20" s="19">
        <v>0.28999999999999998</v>
      </c>
      <c r="R20" s="19">
        <f t="shared" ref="R20" si="2">S20-Q20</f>
        <v>1.1465405560567139</v>
      </c>
      <c r="S20" s="19">
        <f>F20*P20*G20+R18</f>
        <v>1.4365405560567139</v>
      </c>
      <c r="T20" s="19">
        <f>1.82/12</f>
        <v>0.15166666666666667</v>
      </c>
      <c r="U20" s="19">
        <v>12.65</v>
      </c>
      <c r="V20" s="7"/>
      <c r="W20" s="23">
        <f t="shared" si="0"/>
        <v>0.20187386898149703</v>
      </c>
    </row>
    <row r="21" spans="1:23" x14ac:dyDescent="0.2">
      <c r="A21" s="28"/>
      <c r="B21" s="28"/>
      <c r="C21" s="28"/>
      <c r="D21" s="6"/>
      <c r="E21" s="19"/>
      <c r="F21" s="19"/>
      <c r="G21" s="6"/>
      <c r="H21" s="6"/>
      <c r="I21" s="6"/>
      <c r="J21" s="6"/>
      <c r="K21" s="20"/>
      <c r="L21" s="20"/>
      <c r="M21" s="20"/>
      <c r="N21" s="6"/>
      <c r="O21" s="6"/>
      <c r="P21" s="6"/>
      <c r="Q21" s="6"/>
      <c r="R21" s="6"/>
      <c r="S21" s="6"/>
      <c r="T21" s="6"/>
      <c r="U21" s="6"/>
      <c r="V21" s="7"/>
      <c r="W21" s="23"/>
    </row>
    <row r="22" spans="1:23" x14ac:dyDescent="0.2">
      <c r="A22" s="28" t="s">
        <v>12</v>
      </c>
      <c r="B22" s="28"/>
      <c r="C22" s="28"/>
      <c r="D22" s="6">
        <f>$D$44</f>
        <v>3</v>
      </c>
      <c r="E22" s="19">
        <v>204</v>
      </c>
      <c r="F22" s="19">
        <v>0.9</v>
      </c>
      <c r="G22" s="6">
        <v>0.24</v>
      </c>
      <c r="H22" s="19">
        <v>15</v>
      </c>
      <c r="I22" s="19">
        <f>E22/($I$44*60)</f>
        <v>2.3776223776223775</v>
      </c>
      <c r="J22" s="19">
        <f>H22+I22</f>
        <v>17.377622377622377</v>
      </c>
      <c r="K22" s="20">
        <f>$K$44</f>
        <v>5.0000000000000001E-3</v>
      </c>
      <c r="L22" s="20">
        <f>$L$44</f>
        <v>1.2E-2</v>
      </c>
      <c r="M22" s="20">
        <f>$L$44</f>
        <v>1.2E-2</v>
      </c>
      <c r="N22" s="19">
        <v>0</v>
      </c>
      <c r="O22" s="20">
        <v>0</v>
      </c>
      <c r="P22" s="19">
        <f>IDF!$C$3/(('3-Foot'!J22+IDF!$D$3)^IDF!$E$3)</f>
        <v>2.7774747794038261</v>
      </c>
      <c r="Q22" s="19">
        <v>0.33</v>
      </c>
      <c r="R22" s="19">
        <f t="shared" ref="R22" si="3">S22-Q22</f>
        <v>1.4164751084079401</v>
      </c>
      <c r="S22" s="19">
        <f>F22*P22*G22+R20</f>
        <v>1.7464751084079402</v>
      </c>
      <c r="T22" s="19">
        <f>1.96/12</f>
        <v>0.16333333333333333</v>
      </c>
      <c r="U22" s="19">
        <v>13.61</v>
      </c>
      <c r="V22" s="7"/>
      <c r="W22" s="23">
        <f t="shared" si="0"/>
        <v>0.18895202022136057</v>
      </c>
    </row>
    <row r="23" spans="1:23" x14ac:dyDescent="0.2">
      <c r="A23" s="28"/>
      <c r="B23" s="28"/>
      <c r="C23" s="28"/>
      <c r="D23" s="6"/>
      <c r="E23" s="19"/>
      <c r="F23" s="19"/>
      <c r="G23" s="6"/>
      <c r="H23" s="6"/>
      <c r="I23" s="6"/>
      <c r="J23" s="6"/>
      <c r="K23" s="20"/>
      <c r="L23" s="20"/>
      <c r="M23" s="20"/>
      <c r="N23" s="6"/>
      <c r="O23" s="6"/>
      <c r="P23" s="6"/>
      <c r="Q23" s="6"/>
      <c r="R23" s="6"/>
      <c r="S23" s="6"/>
      <c r="T23" s="6"/>
      <c r="U23" s="6"/>
      <c r="V23" s="7"/>
      <c r="W23" s="23"/>
    </row>
    <row r="24" spans="1:23" x14ac:dyDescent="0.2">
      <c r="A24" s="28" t="s">
        <v>13</v>
      </c>
      <c r="B24" s="28"/>
      <c r="C24" s="28"/>
      <c r="D24" s="6">
        <f>$D$44</f>
        <v>3</v>
      </c>
      <c r="E24" s="19">
        <v>255</v>
      </c>
      <c r="F24" s="19">
        <v>0.9</v>
      </c>
      <c r="G24" s="6">
        <v>0.24</v>
      </c>
      <c r="H24" s="19">
        <v>15</v>
      </c>
      <c r="I24" s="19">
        <f>E24/($I$44*60)</f>
        <v>2.9720279720279721</v>
      </c>
      <c r="J24" s="19">
        <f>H24+I24</f>
        <v>17.972027972027973</v>
      </c>
      <c r="K24" s="20">
        <f>$K$44</f>
        <v>5.0000000000000001E-3</v>
      </c>
      <c r="L24" s="20">
        <f>$L$44</f>
        <v>1.2E-2</v>
      </c>
      <c r="M24" s="20">
        <f>$L$44</f>
        <v>1.2E-2</v>
      </c>
      <c r="N24" s="19">
        <v>0</v>
      </c>
      <c r="O24" s="20">
        <v>0</v>
      </c>
      <c r="P24" s="19">
        <f>IDF!$C$3/(('3-Foot'!J24+IDF!$D$3)^IDF!$E$3)</f>
        <v>2.7248133655166664</v>
      </c>
      <c r="Q24" s="19">
        <v>0.36</v>
      </c>
      <c r="R24" s="19">
        <f t="shared" ref="R24" si="4">S24-Q24</f>
        <v>1.6450347953595403</v>
      </c>
      <c r="S24" s="19">
        <f>F24*P24*G24+R22</f>
        <v>2.0050347953595402</v>
      </c>
      <c r="T24" s="19">
        <f>2.06/12</f>
        <v>0.17166666666666666</v>
      </c>
      <c r="U24" s="19">
        <v>14.33</v>
      </c>
      <c r="V24" s="7"/>
      <c r="W24" s="23">
        <f t="shared" si="0"/>
        <v>0.17954800626561956</v>
      </c>
    </row>
    <row r="25" spans="1:23" x14ac:dyDescent="0.2">
      <c r="A25" s="28"/>
      <c r="B25" s="28"/>
      <c r="C25" s="28"/>
      <c r="D25" s="6"/>
      <c r="E25" s="19"/>
      <c r="F25" s="19"/>
      <c r="G25" s="6"/>
      <c r="H25" s="6"/>
      <c r="I25" s="6"/>
      <c r="J25" s="6"/>
      <c r="K25" s="20"/>
      <c r="L25" s="20"/>
      <c r="M25" s="20"/>
      <c r="N25" s="6"/>
      <c r="O25" s="6"/>
      <c r="P25" s="6"/>
      <c r="Q25" s="6"/>
      <c r="R25" s="6"/>
      <c r="S25" s="6"/>
      <c r="T25" s="6"/>
      <c r="U25" s="6"/>
      <c r="V25" s="7"/>
      <c r="W25" s="23"/>
    </row>
    <row r="26" spans="1:23" x14ac:dyDescent="0.2">
      <c r="A26" s="28" t="s">
        <v>14</v>
      </c>
      <c r="B26" s="28"/>
      <c r="C26" s="28"/>
      <c r="D26" s="6">
        <f>$D$44</f>
        <v>3</v>
      </c>
      <c r="E26" s="19">
        <v>306</v>
      </c>
      <c r="F26" s="19">
        <v>0.9</v>
      </c>
      <c r="G26" s="6">
        <v>0.24</v>
      </c>
      <c r="H26" s="19">
        <v>15</v>
      </c>
      <c r="I26" s="19">
        <f>E26/($I$44*60)</f>
        <v>3.5664335664335667</v>
      </c>
      <c r="J26" s="19">
        <f>H26+I26</f>
        <v>18.566433566433567</v>
      </c>
      <c r="K26" s="20">
        <f>$K$44</f>
        <v>5.0000000000000001E-3</v>
      </c>
      <c r="L26" s="20">
        <f>$L$44</f>
        <v>1.2E-2</v>
      </c>
      <c r="M26" s="20">
        <f>$L$44</f>
        <v>1.2E-2</v>
      </c>
      <c r="N26" s="19">
        <v>0</v>
      </c>
      <c r="O26" s="20">
        <v>0</v>
      </c>
      <c r="P26" s="19">
        <f>IDF!$C$3/(('3-Foot'!J26+IDF!$D$3)^IDF!$E$3)</f>
        <v>2.6742661311316316</v>
      </c>
      <c r="Q26" s="19">
        <v>0.38</v>
      </c>
      <c r="R26" s="19">
        <f t="shared" ref="R26" si="5">S26-Q26</f>
        <v>1.8426762796839729</v>
      </c>
      <c r="S26" s="19">
        <f>F26*P26*G26+R24</f>
        <v>2.2226762796839727</v>
      </c>
      <c r="T26" s="19">
        <f>2.14/12</f>
        <v>0.17833333333333334</v>
      </c>
      <c r="U26" s="19">
        <v>14.88</v>
      </c>
      <c r="V26" s="7"/>
      <c r="W26" s="23">
        <f t="shared" si="0"/>
        <v>0.1709650674159485</v>
      </c>
    </row>
    <row r="27" spans="1:23" x14ac:dyDescent="0.2">
      <c r="A27" s="28"/>
      <c r="B27" s="28"/>
      <c r="C27" s="28"/>
      <c r="D27" s="6"/>
      <c r="E27" s="19"/>
      <c r="F27" s="19"/>
      <c r="G27" s="6"/>
      <c r="H27" s="6"/>
      <c r="I27" s="6"/>
      <c r="J27" s="6"/>
      <c r="K27" s="20"/>
      <c r="L27" s="20"/>
      <c r="M27" s="20"/>
      <c r="N27" s="6"/>
      <c r="O27" s="6"/>
      <c r="P27" s="6"/>
      <c r="Q27" s="6"/>
      <c r="R27" s="6"/>
      <c r="S27" s="6"/>
      <c r="T27" s="6"/>
      <c r="U27" s="6"/>
      <c r="V27" s="7"/>
      <c r="W27" s="23"/>
    </row>
    <row r="28" spans="1:23" x14ac:dyDescent="0.2">
      <c r="A28" s="28" t="s">
        <v>15</v>
      </c>
      <c r="B28" s="28"/>
      <c r="C28" s="28"/>
      <c r="D28" s="6">
        <f>$D$44</f>
        <v>3</v>
      </c>
      <c r="E28" s="19">
        <v>357</v>
      </c>
      <c r="F28" s="19">
        <v>0.9</v>
      </c>
      <c r="G28" s="6">
        <v>0.24</v>
      </c>
      <c r="H28" s="19">
        <v>15</v>
      </c>
      <c r="I28" s="19">
        <f>E28/($I$44*60)</f>
        <v>4.1608391608391608</v>
      </c>
      <c r="J28" s="19">
        <f>H28+I28</f>
        <v>19.16083916083916</v>
      </c>
      <c r="K28" s="20">
        <f>$K$44</f>
        <v>5.0000000000000001E-3</v>
      </c>
      <c r="L28" s="20">
        <f>$L$44</f>
        <v>1.2E-2</v>
      </c>
      <c r="M28" s="20">
        <f>$L$44</f>
        <v>1.2E-2</v>
      </c>
      <c r="N28" s="19">
        <v>0</v>
      </c>
      <c r="O28" s="20">
        <v>0</v>
      </c>
      <c r="P28" s="19">
        <f>IDF!$C$3/(('3-Foot'!J28+IDF!$D$3)^IDF!$E$3)</f>
        <v>2.6257053002945074</v>
      </c>
      <c r="Q28" s="19">
        <v>0.4</v>
      </c>
      <c r="R28" s="19">
        <f t="shared" ref="R28" si="6">S28-Q28</f>
        <v>2.0098286245475863</v>
      </c>
      <c r="S28" s="19">
        <f>F28*P28*G28+R26</f>
        <v>2.4098286245475862</v>
      </c>
      <c r="T28" s="19">
        <f>2.21/12</f>
        <v>0.18416666666666667</v>
      </c>
      <c r="U28" s="19">
        <v>15.34</v>
      </c>
      <c r="V28" s="7"/>
      <c r="W28" s="23">
        <f t="shared" si="0"/>
        <v>0.16598690708767508</v>
      </c>
    </row>
    <row r="29" spans="1:23" x14ac:dyDescent="0.2">
      <c r="A29" s="28"/>
      <c r="B29" s="28"/>
      <c r="C29" s="28"/>
      <c r="D29" s="6"/>
      <c r="E29" s="19"/>
      <c r="F29" s="19"/>
      <c r="G29" s="6"/>
      <c r="H29" s="6"/>
      <c r="I29" s="6"/>
      <c r="J29" s="6"/>
      <c r="K29" s="20"/>
      <c r="L29" s="20"/>
      <c r="M29" s="20"/>
      <c r="N29" s="6"/>
      <c r="O29" s="6"/>
      <c r="P29" s="6"/>
      <c r="Q29" s="6"/>
      <c r="R29" s="6"/>
      <c r="S29" s="6"/>
      <c r="T29" s="6"/>
      <c r="U29" s="6"/>
      <c r="V29" s="7"/>
      <c r="W29" s="23"/>
    </row>
    <row r="30" spans="1:23" x14ac:dyDescent="0.2">
      <c r="A30" s="28" t="s">
        <v>16</v>
      </c>
      <c r="B30" s="28"/>
      <c r="C30" s="28"/>
      <c r="D30" s="6">
        <f>$D$44</f>
        <v>3</v>
      </c>
      <c r="E30" s="19">
        <v>408</v>
      </c>
      <c r="F30" s="19">
        <v>0.9</v>
      </c>
      <c r="G30" s="6">
        <v>0.24</v>
      </c>
      <c r="H30" s="19">
        <v>15</v>
      </c>
      <c r="I30" s="19">
        <f>E30/($I$44*60)</f>
        <v>4.755244755244755</v>
      </c>
      <c r="J30" s="19">
        <f>H30+I30</f>
        <v>19.755244755244753</v>
      </c>
      <c r="K30" s="20">
        <f>$K$44</f>
        <v>5.0000000000000001E-3</v>
      </c>
      <c r="L30" s="20">
        <f>$L$44</f>
        <v>1.2E-2</v>
      </c>
      <c r="M30" s="20">
        <f>$L$44</f>
        <v>1.2E-2</v>
      </c>
      <c r="N30" s="19">
        <v>0</v>
      </c>
      <c r="O30" s="20">
        <v>0</v>
      </c>
      <c r="P30" s="19">
        <f>IDF!$C$3/(('3-Foot'!J30+IDF!$D$3)^IDF!$E$3)</f>
        <v>2.579013304898591</v>
      </c>
      <c r="Q30" s="19">
        <v>0.42</v>
      </c>
      <c r="R30" s="19">
        <f t="shared" ref="R30" si="7">S30-Q30</f>
        <v>2.1468954984056818</v>
      </c>
      <c r="S30" s="19">
        <f>F30*P30*G30+R28</f>
        <v>2.5668954984056818</v>
      </c>
      <c r="T30" s="19">
        <f>2.26/12</f>
        <v>0.18833333333333332</v>
      </c>
      <c r="U30" s="19">
        <v>15.72</v>
      </c>
      <c r="V30" s="7"/>
      <c r="W30" s="23">
        <f>Q30/S30</f>
        <v>0.16362177590044674</v>
      </c>
    </row>
    <row r="31" spans="1:23" x14ac:dyDescent="0.2">
      <c r="A31" s="28"/>
      <c r="B31" s="28"/>
      <c r="C31" s="28"/>
      <c r="D31" s="6"/>
      <c r="E31" s="19"/>
      <c r="F31" s="19"/>
      <c r="G31" s="6"/>
      <c r="H31" s="6"/>
      <c r="I31" s="6"/>
      <c r="J31" s="6"/>
      <c r="K31" s="20"/>
      <c r="L31" s="20"/>
      <c r="M31" s="20"/>
      <c r="N31" s="6"/>
      <c r="O31" s="6"/>
      <c r="P31" s="6"/>
      <c r="Q31" s="6"/>
      <c r="R31" s="6"/>
      <c r="S31" s="6"/>
      <c r="T31" s="6"/>
      <c r="U31" s="6"/>
      <c r="V31" s="7"/>
    </row>
    <row r="32" spans="1:23" x14ac:dyDescent="0.2">
      <c r="A32" s="28" t="s">
        <v>17</v>
      </c>
      <c r="B32" s="28"/>
      <c r="C32" s="28"/>
      <c r="D32" s="6">
        <f>$D$44</f>
        <v>3</v>
      </c>
      <c r="E32" s="19">
        <v>425</v>
      </c>
      <c r="F32" s="19">
        <v>0.9</v>
      </c>
      <c r="G32" s="6">
        <v>0.08</v>
      </c>
      <c r="H32" s="19">
        <v>15</v>
      </c>
      <c r="I32" s="19">
        <f>E32/($I$44*60)</f>
        <v>4.9533799533799536</v>
      </c>
      <c r="J32" s="19">
        <f>H32+I32</f>
        <v>19.953379953379955</v>
      </c>
      <c r="K32" s="20">
        <f>$K$44</f>
        <v>5.0000000000000001E-3</v>
      </c>
      <c r="L32" s="20">
        <f>$L$44</f>
        <v>1.2E-2</v>
      </c>
      <c r="M32" s="20">
        <f>$L$44</f>
        <v>1.2E-2</v>
      </c>
      <c r="N32" s="19">
        <v>0</v>
      </c>
      <c r="O32" s="20">
        <v>0</v>
      </c>
      <c r="P32" s="19">
        <f>IDF!$C$3/(('3-Foot'!J32+IDF!$D$3)^IDF!$E$3)</f>
        <v>2.5638456257944675</v>
      </c>
      <c r="Q32" s="19" t="s">
        <v>59</v>
      </c>
      <c r="R32" s="19" t="s">
        <v>59</v>
      </c>
      <c r="S32" s="19">
        <f>F32*P32*G32+R30</f>
        <v>2.3314923834628836</v>
      </c>
      <c r="T32" s="19">
        <f>4.87/12</f>
        <v>0.40583333333333332</v>
      </c>
      <c r="U32" s="19">
        <v>33.83</v>
      </c>
      <c r="V32" s="21" t="s">
        <v>49</v>
      </c>
    </row>
    <row r="33" spans="1:22" x14ac:dyDescent="0.2">
      <c r="A33" s="28"/>
      <c r="B33" s="28"/>
      <c r="C33" s="28"/>
      <c r="D33" s="6"/>
      <c r="E33" s="6"/>
      <c r="F33" s="6"/>
      <c r="G33" s="6"/>
      <c r="H33" s="6"/>
      <c r="I33" s="6"/>
      <c r="J33" s="6"/>
      <c r="K33" s="20"/>
      <c r="L33" s="20"/>
      <c r="M33" s="20"/>
      <c r="N33" s="6"/>
      <c r="O33" s="6"/>
      <c r="P33" s="6"/>
      <c r="Q33" s="6"/>
      <c r="R33" s="6"/>
      <c r="S33" s="6"/>
      <c r="T33" s="6"/>
      <c r="U33" s="6"/>
      <c r="V33" s="7"/>
    </row>
    <row r="34" spans="1:22" hidden="1" x14ac:dyDescent="0.2">
      <c r="A34" s="28" t="s">
        <v>8</v>
      </c>
      <c r="B34" s="28"/>
      <c r="C34" s="28"/>
      <c r="D34" s="6" t="s">
        <v>48</v>
      </c>
      <c r="E34" s="6"/>
      <c r="F34" s="6"/>
      <c r="G34" s="6"/>
      <c r="H34" s="6"/>
      <c r="I34" s="6"/>
      <c r="J34" s="6"/>
      <c r="K34" s="20"/>
      <c r="L34" s="20"/>
      <c r="M34" s="20"/>
      <c r="N34" s="6"/>
      <c r="O34" s="6"/>
      <c r="P34" s="6"/>
      <c r="Q34" s="6"/>
      <c r="R34" s="6"/>
      <c r="S34" s="6"/>
      <c r="T34" s="6"/>
      <c r="U34" s="6"/>
      <c r="V34" s="7"/>
    </row>
    <row r="35" spans="1:22" hidden="1" x14ac:dyDescent="0.2">
      <c r="A35" s="28"/>
      <c r="B35" s="28"/>
      <c r="C35" s="28"/>
      <c r="D35" s="6"/>
      <c r="E35" s="6"/>
      <c r="F35" s="6"/>
      <c r="G35" s="6"/>
      <c r="H35" s="6"/>
      <c r="I35" s="6"/>
      <c r="J35" s="6"/>
      <c r="K35" s="20"/>
      <c r="L35" s="20"/>
      <c r="M35" s="20"/>
      <c r="N35" s="6"/>
      <c r="O35" s="6"/>
      <c r="P35" s="6"/>
      <c r="Q35" s="6"/>
      <c r="R35" s="6"/>
      <c r="S35" s="6"/>
      <c r="T35" s="6"/>
      <c r="U35" s="6"/>
      <c r="V35" s="7"/>
    </row>
    <row r="36" spans="1:22" hidden="1" x14ac:dyDescent="0.2">
      <c r="A36" s="28" t="s">
        <v>42</v>
      </c>
      <c r="B36" s="28"/>
      <c r="C36" s="28"/>
      <c r="D36" s="6">
        <f>$D$44</f>
        <v>3</v>
      </c>
      <c r="E36" s="19">
        <v>85</v>
      </c>
      <c r="F36" s="19">
        <v>0.9</v>
      </c>
      <c r="G36" s="6">
        <v>0.11</v>
      </c>
      <c r="H36" s="19">
        <v>15</v>
      </c>
      <c r="I36" s="19">
        <f>E36/($I$44*60)</f>
        <v>0.99067599067599066</v>
      </c>
      <c r="J36" s="19">
        <f>H36+I36</f>
        <v>15.990675990675991</v>
      </c>
      <c r="K36" s="20">
        <f>$K$44</f>
        <v>5.0000000000000001E-3</v>
      </c>
      <c r="L36" s="20">
        <f>$L$44</f>
        <v>1.2E-2</v>
      </c>
      <c r="M36" s="20">
        <f>$L$44</f>
        <v>1.2E-2</v>
      </c>
      <c r="N36" s="19">
        <v>0</v>
      </c>
      <c r="O36" s="20">
        <v>0</v>
      </c>
      <c r="P36" s="19">
        <f>IDF!$C$3/(('3-Foot'!J36+IDF!$D$3)^IDF!$E$3)</f>
        <v>2.9093785943371784</v>
      </c>
      <c r="Q36" s="19" t="s">
        <v>59</v>
      </c>
      <c r="R36" s="19" t="s">
        <v>59</v>
      </c>
      <c r="S36" s="19">
        <f>F36*P36*G36</f>
        <v>0.28802848083938065</v>
      </c>
      <c r="T36" s="19">
        <f>1.21/12</f>
        <v>0.10083333333333333</v>
      </c>
      <c r="U36" s="19">
        <v>8.43</v>
      </c>
      <c r="V36" s="21" t="s">
        <v>49</v>
      </c>
    </row>
    <row r="37" spans="1:22" x14ac:dyDescent="0.2">
      <c r="A37" s="28"/>
      <c r="B37" s="28"/>
      <c r="C37" s="28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7"/>
    </row>
    <row r="41" spans="1:22" x14ac:dyDescent="0.2">
      <c r="R41" s="4"/>
    </row>
    <row r="44" spans="1:22" x14ac:dyDescent="0.2">
      <c r="D44" s="3">
        <v>3</v>
      </c>
      <c r="E44" s="3" t="s">
        <v>35</v>
      </c>
      <c r="H44" s="3" t="s">
        <v>36</v>
      </c>
      <c r="I44" s="3">
        <v>1.43</v>
      </c>
      <c r="K44" s="3">
        <v>5.0000000000000001E-3</v>
      </c>
      <c r="L44" s="3">
        <v>1.2E-2</v>
      </c>
      <c r="M44" s="3">
        <v>1.2E-2</v>
      </c>
      <c r="R44" s="3" t="s">
        <v>43</v>
      </c>
    </row>
  </sheetData>
  <mergeCells count="47">
    <mergeCell ref="A1:U1"/>
    <mergeCell ref="E9:E10"/>
    <mergeCell ref="D9:D10"/>
    <mergeCell ref="H9:H10"/>
    <mergeCell ref="I9:I10"/>
    <mergeCell ref="J9:J10"/>
    <mergeCell ref="K9:K10"/>
    <mergeCell ref="R9:R10"/>
    <mergeCell ref="S9:S10"/>
    <mergeCell ref="T9:T10"/>
    <mergeCell ref="U9:U10"/>
    <mergeCell ref="L9:L10"/>
    <mergeCell ref="M9:M10"/>
    <mergeCell ref="N9:N10"/>
    <mergeCell ref="O9:O10"/>
    <mergeCell ref="P9:P10"/>
    <mergeCell ref="Q9:Q10"/>
    <mergeCell ref="A20:C20"/>
    <mergeCell ref="A21:C21"/>
    <mergeCell ref="A22:C22"/>
    <mergeCell ref="F9:G9"/>
    <mergeCell ref="A23:C23"/>
    <mergeCell ref="A19:C19"/>
    <mergeCell ref="A18:C18"/>
    <mergeCell ref="B3:C3"/>
    <mergeCell ref="A9:C10"/>
    <mergeCell ref="A11:C11"/>
    <mergeCell ref="A12:C12"/>
    <mergeCell ref="A13:C13"/>
    <mergeCell ref="A14:C14"/>
    <mergeCell ref="A15:C15"/>
    <mergeCell ref="A16:C16"/>
    <mergeCell ref="A17:C17"/>
    <mergeCell ref="A36:C36"/>
    <mergeCell ref="A37:C37"/>
    <mergeCell ref="A24:C24"/>
    <mergeCell ref="A25:C25"/>
    <mergeCell ref="A26:C26"/>
    <mergeCell ref="A27:C27"/>
    <mergeCell ref="A28:C28"/>
    <mergeCell ref="A29:C29"/>
    <mergeCell ref="A32:C32"/>
    <mergeCell ref="A33:C33"/>
    <mergeCell ref="A34:C34"/>
    <mergeCell ref="A35:C35"/>
    <mergeCell ref="A30:C30"/>
    <mergeCell ref="A31:C31"/>
  </mergeCells>
  <printOptions horizontalCentered="1"/>
  <pageMargins left="0.25" right="0.25" top="0.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164A0-7282-4660-A08D-766F20A9A76A}">
  <dimension ref="A1:AB42"/>
  <sheetViews>
    <sheetView tabSelected="1" view="pageBreakPreview" zoomScale="115" zoomScaleNormal="100" zoomScaleSheetLayoutView="115" workbookViewId="0">
      <selection activeCell="I12" sqref="I12"/>
    </sheetView>
  </sheetViews>
  <sheetFormatPr defaultRowHeight="12.75" x14ac:dyDescent="0.2"/>
  <cols>
    <col min="1" max="2" width="3.5703125" style="3" customWidth="1"/>
    <col min="3" max="3" width="2.5703125" style="3" customWidth="1"/>
    <col min="4" max="4" width="8.28515625" style="3" customWidth="1"/>
    <col min="5" max="5" width="6.85546875" style="3" customWidth="1"/>
    <col min="6" max="7" width="6" style="3" customWidth="1"/>
    <col min="8" max="8" width="5.85546875" style="3" customWidth="1"/>
    <col min="9" max="9" width="6.7109375" style="3" customWidth="1"/>
    <col min="10" max="10" width="5.7109375" style="3" customWidth="1"/>
    <col min="11" max="11" width="6.140625" style="3" customWidth="1"/>
    <col min="12" max="13" width="6.42578125" style="3" customWidth="1"/>
    <col min="14" max="14" width="6.7109375" style="3" customWidth="1"/>
    <col min="15" max="15" width="7.7109375" style="3" customWidth="1"/>
    <col min="16" max="16" width="6.42578125" style="3" customWidth="1"/>
    <col min="17" max="17" width="8.5703125" style="3" customWidth="1"/>
    <col min="18" max="19" width="6.42578125" style="3" customWidth="1"/>
    <col min="20" max="20" width="5.7109375" style="3" customWidth="1"/>
    <col min="21" max="21" width="6.42578125" style="3" customWidth="1"/>
    <col min="22" max="22" width="4.85546875" style="4" customWidth="1"/>
    <col min="23" max="24" width="9.140625" style="4"/>
    <col min="25" max="25" width="12" style="4" customWidth="1"/>
    <col min="26" max="26" width="18" style="4" customWidth="1"/>
    <col min="27" max="27" width="21.5703125" style="4" customWidth="1"/>
    <col min="28" max="16384" width="9.140625" style="4"/>
  </cols>
  <sheetData>
    <row r="1" spans="1:28" ht="26.25" x14ac:dyDescent="0.2">
      <c r="A1" s="35" t="s">
        <v>44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</row>
    <row r="2" spans="1:28" ht="17.25" customHeight="1" thickBo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22"/>
    </row>
    <row r="3" spans="1:28" ht="15" customHeight="1" x14ac:dyDescent="0.2">
      <c r="A3" s="8" t="s">
        <v>53</v>
      </c>
      <c r="B3" s="29">
        <v>122880</v>
      </c>
      <c r="C3" s="29"/>
      <c r="D3" s="13" t="s">
        <v>54</v>
      </c>
      <c r="E3" s="38">
        <v>45992</v>
      </c>
      <c r="F3" s="38"/>
      <c r="G3" s="13" t="s">
        <v>55</v>
      </c>
      <c r="H3" s="9" t="s">
        <v>56</v>
      </c>
      <c r="I3" s="4"/>
      <c r="J3" s="4"/>
      <c r="K3" s="37" t="s">
        <v>79</v>
      </c>
      <c r="L3" s="37"/>
      <c r="M3" s="9" t="s">
        <v>80</v>
      </c>
      <c r="N3" s="6"/>
      <c r="O3" s="6"/>
      <c r="P3" s="6"/>
      <c r="Q3" s="6"/>
      <c r="R3" s="6"/>
      <c r="S3" s="6"/>
      <c r="T3" s="6"/>
      <c r="U3" s="6"/>
      <c r="V3" s="7"/>
    </row>
    <row r="4" spans="1:28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7"/>
    </row>
    <row r="5" spans="1:28" x14ac:dyDescent="0.2">
      <c r="A5" s="8" t="s">
        <v>51</v>
      </c>
      <c r="B5" s="8"/>
      <c r="C5" s="8"/>
      <c r="D5" s="9" t="s">
        <v>52</v>
      </c>
      <c r="E5" s="6"/>
      <c r="F5" s="6"/>
      <c r="G5" s="6"/>
      <c r="H5" s="6"/>
      <c r="I5" s="6"/>
      <c r="J5" s="6"/>
      <c r="K5" s="6"/>
      <c r="L5" s="6"/>
      <c r="M5" s="6"/>
      <c r="N5" s="4"/>
      <c r="O5" s="4"/>
      <c r="P5" s="4"/>
      <c r="Q5" s="4"/>
      <c r="R5" s="6"/>
      <c r="S5" s="13" t="s">
        <v>61</v>
      </c>
      <c r="T5" s="14" t="s">
        <v>62</v>
      </c>
      <c r="U5" s="6"/>
      <c r="V5" s="7"/>
    </row>
    <row r="6" spans="1:28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4"/>
      <c r="O6" s="4"/>
      <c r="P6" s="6"/>
      <c r="Q6" s="6"/>
      <c r="R6" s="6"/>
      <c r="S6" s="6"/>
      <c r="T6" s="6"/>
      <c r="U6" s="6"/>
      <c r="V6" s="7"/>
    </row>
    <row r="7" spans="1:28" x14ac:dyDescent="0.2">
      <c r="A7" s="11" t="s">
        <v>50</v>
      </c>
      <c r="B7" s="11"/>
      <c r="C7" s="11"/>
      <c r="D7" s="9" t="s">
        <v>24</v>
      </c>
      <c r="E7" s="6"/>
      <c r="F7" s="4"/>
      <c r="G7" s="4"/>
      <c r="H7" s="13" t="s">
        <v>57</v>
      </c>
      <c r="I7" s="12">
        <v>2</v>
      </c>
      <c r="J7" s="4"/>
      <c r="K7" s="4"/>
      <c r="L7" s="4"/>
      <c r="M7" s="13" t="s">
        <v>58</v>
      </c>
      <c r="N7" s="14">
        <v>0</v>
      </c>
      <c r="O7" s="4"/>
      <c r="P7" s="4"/>
      <c r="Q7" s="4"/>
      <c r="R7" s="6"/>
      <c r="S7" s="13" t="s">
        <v>60</v>
      </c>
      <c r="T7" s="14">
        <v>0.75</v>
      </c>
      <c r="U7" s="6"/>
      <c r="V7" s="7"/>
    </row>
    <row r="8" spans="1:28" ht="6" customHeight="1" thickBot="1" x14ac:dyDescent="0.25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22"/>
    </row>
    <row r="9" spans="1:28" ht="10.5" customHeight="1" x14ac:dyDescent="0.2">
      <c r="A9" s="30" t="s">
        <v>0</v>
      </c>
      <c r="B9" s="30"/>
      <c r="C9" s="30"/>
      <c r="D9" s="30" t="s">
        <v>23</v>
      </c>
      <c r="E9" s="30" t="s">
        <v>64</v>
      </c>
      <c r="F9" s="34" t="s">
        <v>22</v>
      </c>
      <c r="G9" s="34"/>
      <c r="H9" s="30" t="s">
        <v>3</v>
      </c>
      <c r="I9" s="30" t="s">
        <v>4</v>
      </c>
      <c r="J9" s="30" t="s">
        <v>63</v>
      </c>
      <c r="K9" s="30" t="s">
        <v>5</v>
      </c>
      <c r="L9" s="30" t="s">
        <v>6</v>
      </c>
      <c r="M9" s="30" t="s">
        <v>7</v>
      </c>
      <c r="N9" s="30" t="s">
        <v>41</v>
      </c>
      <c r="O9" s="30" t="s">
        <v>40</v>
      </c>
      <c r="P9" s="30" t="s">
        <v>47</v>
      </c>
      <c r="Q9" s="30" t="s">
        <v>39</v>
      </c>
      <c r="R9" s="30" t="s">
        <v>38</v>
      </c>
      <c r="S9" s="30" t="s">
        <v>37</v>
      </c>
      <c r="T9" s="30" t="s">
        <v>45</v>
      </c>
      <c r="U9" s="30" t="s">
        <v>46</v>
      </c>
      <c r="V9" s="7"/>
    </row>
    <row r="10" spans="1:28" s="5" customFormat="1" ht="10.5" customHeight="1" x14ac:dyDescent="0.2">
      <c r="A10" s="31"/>
      <c r="B10" s="31"/>
      <c r="C10" s="31"/>
      <c r="D10" s="31"/>
      <c r="E10" s="31"/>
      <c r="F10" s="16" t="s">
        <v>1</v>
      </c>
      <c r="G10" s="16" t="s">
        <v>2</v>
      </c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17"/>
    </row>
    <row r="11" spans="1:28" x14ac:dyDescent="0.2">
      <c r="A11" s="32"/>
      <c r="B11" s="32"/>
      <c r="C11" s="32"/>
      <c r="D11" s="18" t="s">
        <v>18</v>
      </c>
      <c r="E11" s="18" t="s">
        <v>18</v>
      </c>
      <c r="F11" s="18"/>
      <c r="G11" s="18" t="s">
        <v>20</v>
      </c>
      <c r="H11" s="18" t="s">
        <v>21</v>
      </c>
      <c r="I11" s="18" t="s">
        <v>21</v>
      </c>
      <c r="J11" s="18" t="s">
        <v>21</v>
      </c>
      <c r="K11" s="18" t="s">
        <v>19</v>
      </c>
      <c r="L11" s="18" t="s">
        <v>19</v>
      </c>
      <c r="M11" s="18" t="s">
        <v>19</v>
      </c>
      <c r="N11" s="18" t="s">
        <v>18</v>
      </c>
      <c r="O11" s="18" t="s">
        <v>18</v>
      </c>
      <c r="P11" s="18" t="s">
        <v>33</v>
      </c>
      <c r="Q11" s="18" t="s">
        <v>34</v>
      </c>
      <c r="R11" s="18" t="s">
        <v>34</v>
      </c>
      <c r="S11" s="18" t="s">
        <v>34</v>
      </c>
      <c r="T11" s="18" t="s">
        <v>18</v>
      </c>
      <c r="U11" s="18" t="s">
        <v>34</v>
      </c>
      <c r="V11" s="7"/>
    </row>
    <row r="12" spans="1:28" ht="6.75" customHeight="1" thickBot="1" x14ac:dyDescent="0.25">
      <c r="A12" s="33"/>
      <c r="B12" s="33"/>
      <c r="C12" s="33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22"/>
    </row>
    <row r="13" spans="1:28" ht="15" customHeight="1" x14ac:dyDescent="0.2">
      <c r="A13" s="29"/>
      <c r="B13" s="29"/>
      <c r="C13" s="29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7"/>
    </row>
    <row r="14" spans="1:28" x14ac:dyDescent="0.2">
      <c r="A14" s="28" t="s">
        <v>8</v>
      </c>
      <c r="B14" s="28"/>
      <c r="C14" s="28"/>
      <c r="D14" s="6" t="s">
        <v>48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7"/>
      <c r="W14" s="24"/>
      <c r="X14" s="24"/>
      <c r="Y14" s="24" t="s">
        <v>65</v>
      </c>
      <c r="Z14" s="24" t="s">
        <v>66</v>
      </c>
      <c r="AA14" s="24" t="s">
        <v>67</v>
      </c>
    </row>
    <row r="15" spans="1:28" x14ac:dyDescent="0.2">
      <c r="A15" s="28"/>
      <c r="B15" s="28"/>
      <c r="C15" s="28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7"/>
      <c r="W15" s="24"/>
      <c r="X15" s="24"/>
      <c r="Y15" s="24" t="s">
        <v>70</v>
      </c>
      <c r="Z15" s="24" t="s">
        <v>68</v>
      </c>
      <c r="AA15" s="24" t="s">
        <v>69</v>
      </c>
    </row>
    <row r="16" spans="1:28" x14ac:dyDescent="0.2">
      <c r="A16" s="36" t="s">
        <v>71</v>
      </c>
      <c r="B16" s="36"/>
      <c r="C16" s="36"/>
      <c r="D16" s="6">
        <f>$D$42</f>
        <v>5</v>
      </c>
      <c r="E16" s="19">
        <v>51</v>
      </c>
      <c r="F16" s="19">
        <v>0.9</v>
      </c>
      <c r="G16" s="19">
        <v>0.25509999999999999</v>
      </c>
      <c r="H16" s="19">
        <f>'[1]ODOT ToC (DA 3)- Truck Parking'!$G$34</f>
        <v>10</v>
      </c>
      <c r="I16" s="19">
        <f>E16/($I$42*60)</f>
        <v>0.59440559440559437</v>
      </c>
      <c r="J16" s="19">
        <f>H16+I16</f>
        <v>10.594405594405595</v>
      </c>
      <c r="K16" s="20">
        <f>$K$42</f>
        <v>5.0000000000000001E-3</v>
      </c>
      <c r="L16" s="20">
        <f>$L$42</f>
        <v>1.2E-2</v>
      </c>
      <c r="M16" s="20">
        <f>$L$42</f>
        <v>1.2E-2</v>
      </c>
      <c r="N16" s="19">
        <v>0</v>
      </c>
      <c r="O16" s="20">
        <v>0</v>
      </c>
      <c r="P16" s="19">
        <f>IDF!$C$3/(('5-Foot'!J16+IDF!$D$3)^IDF!$E$3)</f>
        <v>3.5855028842021657</v>
      </c>
      <c r="Q16" s="19">
        <v>0.3</v>
      </c>
      <c r="R16" s="19">
        <f>S16-Q16</f>
        <v>0.52319560718397518</v>
      </c>
      <c r="S16" s="19">
        <f>F16*P16*G16</f>
        <v>0.82319560718397522</v>
      </c>
      <c r="T16" s="19">
        <f>Y16</f>
        <v>0.12300236025430235</v>
      </c>
      <c r="U16" s="19">
        <f>T16/M16</f>
        <v>10.250196687858528</v>
      </c>
      <c r="V16" s="7"/>
      <c r="W16" s="26">
        <f t="shared" ref="W16:W28" si="0">Q16/S16</f>
        <v>0.36443343159501734</v>
      </c>
      <c r="X16" s="24"/>
      <c r="Y16" s="25">
        <f>((S16*0.015)/(0.56*(1/M16)*(K16^(1/2))))^(3/8)</f>
        <v>0.12300236025430235</v>
      </c>
      <c r="Z16" s="25">
        <f>3*D16*(T16^1.5)</f>
        <v>0.64708514011409146</v>
      </c>
      <c r="AA16" s="25">
        <f>Z16/(D16*T16)</f>
        <v>1.0521507697515224</v>
      </c>
      <c r="AB16" s="27">
        <f>Q16/(T16*D16)</f>
        <v>0.48779551771163127</v>
      </c>
    </row>
    <row r="17" spans="1:28" x14ac:dyDescent="0.2">
      <c r="A17" s="28"/>
      <c r="B17" s="28"/>
      <c r="C17" s="28"/>
      <c r="D17" s="6"/>
      <c r="E17" s="19"/>
      <c r="F17" s="19"/>
      <c r="G17" s="6"/>
      <c r="H17" s="6"/>
      <c r="I17" s="6"/>
      <c r="J17" s="6"/>
      <c r="K17" s="20"/>
      <c r="L17" s="20"/>
      <c r="M17" s="20"/>
      <c r="N17" s="6"/>
      <c r="O17" s="6"/>
      <c r="P17" s="6"/>
      <c r="Q17" s="6"/>
      <c r="R17" s="6"/>
      <c r="S17" s="6"/>
      <c r="T17" s="19"/>
      <c r="U17" s="6"/>
      <c r="V17" s="7"/>
      <c r="W17" s="26"/>
      <c r="X17" s="24"/>
      <c r="Y17" s="25"/>
      <c r="Z17" s="25"/>
      <c r="AA17" s="25"/>
      <c r="AB17" s="27"/>
    </row>
    <row r="18" spans="1:28" x14ac:dyDescent="0.2">
      <c r="A18" s="28" t="s">
        <v>72</v>
      </c>
      <c r="B18" s="28"/>
      <c r="C18" s="28"/>
      <c r="D18" s="6">
        <f>$D$42</f>
        <v>5</v>
      </c>
      <c r="E18" s="19">
        <v>102</v>
      </c>
      <c r="F18" s="19">
        <v>0.9</v>
      </c>
      <c r="G18" s="19">
        <v>0.23449999999999999</v>
      </c>
      <c r="H18" s="19">
        <f>'[1]ODOT ToC (DA 4)- Truck Park'!$G$34</f>
        <v>10</v>
      </c>
      <c r="I18" s="19">
        <f>E18/($I$42*60)</f>
        <v>1.1888111888111887</v>
      </c>
      <c r="J18" s="19">
        <f>H18+I18</f>
        <v>11.188811188811188</v>
      </c>
      <c r="K18" s="20">
        <f>$K$42</f>
        <v>5.0000000000000001E-3</v>
      </c>
      <c r="L18" s="20">
        <f>$L$42</f>
        <v>1.2E-2</v>
      </c>
      <c r="M18" s="20">
        <f>$L$42</f>
        <v>1.2E-2</v>
      </c>
      <c r="N18" s="19">
        <v>0</v>
      </c>
      <c r="O18" s="20">
        <v>0</v>
      </c>
      <c r="P18" s="19">
        <f>IDF!$C$3/(('5-Foot'!J18+IDF!$D$3)^IDF!$E$3)</f>
        <v>3.4946317097900206</v>
      </c>
      <c r="Q18" s="19">
        <v>0.37</v>
      </c>
      <c r="R18" s="19">
        <f t="shared" ref="R18" si="1">S18-Q18</f>
        <v>0.89073762953515889</v>
      </c>
      <c r="S18" s="19">
        <f>F18*P18*G18+R16</f>
        <v>1.2607376295351589</v>
      </c>
      <c r="T18" s="19">
        <f t="shared" ref="T18:T30" si="2">Y18</f>
        <v>0.1443225094853019</v>
      </c>
      <c r="U18" s="19">
        <f>T18/M18</f>
        <v>12.026875790441824</v>
      </c>
      <c r="V18" s="7"/>
      <c r="W18" s="26">
        <f t="shared" si="0"/>
        <v>0.29347898510526815</v>
      </c>
      <c r="X18" s="24"/>
      <c r="Y18" s="25">
        <f>((S18*0.015)/(0.56*(1/M18)*(K18^(1/2))))^(3/8)</f>
        <v>0.1443225094853019</v>
      </c>
      <c r="Z18" s="25">
        <f>3*D18*(T18^1.5)</f>
        <v>0.82241754499382724</v>
      </c>
      <c r="AA18" s="25">
        <f>Z18/(D18*T18)</f>
        <v>1.1396940753411497</v>
      </c>
      <c r="AB18" s="27">
        <f t="shared" ref="AB18:AB28" si="3">Q18/(T18*D18)</f>
        <v>0.51274052996934838</v>
      </c>
    </row>
    <row r="19" spans="1:28" x14ac:dyDescent="0.2">
      <c r="A19" s="28"/>
      <c r="B19" s="28"/>
      <c r="C19" s="28"/>
      <c r="D19" s="6"/>
      <c r="E19" s="19"/>
      <c r="F19" s="19"/>
      <c r="G19" s="19"/>
      <c r="H19" s="6"/>
      <c r="I19" s="6"/>
      <c r="J19" s="6"/>
      <c r="K19" s="20"/>
      <c r="L19" s="20"/>
      <c r="M19" s="20"/>
      <c r="N19" s="6"/>
      <c r="O19" s="6"/>
      <c r="P19" s="6"/>
      <c r="Q19" s="6"/>
      <c r="R19" s="6"/>
      <c r="S19" s="6"/>
      <c r="T19" s="19"/>
      <c r="U19" s="6"/>
      <c r="V19" s="7"/>
      <c r="W19" s="26"/>
      <c r="X19" s="24"/>
      <c r="Y19" s="25"/>
      <c r="Z19" s="25"/>
      <c r="AA19" s="25"/>
      <c r="AB19" s="27"/>
    </row>
    <row r="20" spans="1:28" x14ac:dyDescent="0.2">
      <c r="A20" s="28" t="s">
        <v>73</v>
      </c>
      <c r="B20" s="28"/>
      <c r="C20" s="28"/>
      <c r="D20" s="6">
        <f>$D$42</f>
        <v>5</v>
      </c>
      <c r="E20" s="19">
        <v>153</v>
      </c>
      <c r="F20" s="19">
        <v>0.9</v>
      </c>
      <c r="G20" s="19">
        <v>0.23569999999999999</v>
      </c>
      <c r="H20" s="19">
        <f>'[1]ODOT ToC (DA5-DA9)-Truck Park'!$G$34</f>
        <v>10</v>
      </c>
      <c r="I20" s="19">
        <f>E20/($I$42*60)</f>
        <v>1.7832167832167833</v>
      </c>
      <c r="J20" s="19">
        <f>H20+I20</f>
        <v>11.783216783216783</v>
      </c>
      <c r="K20" s="20">
        <f>$K$42</f>
        <v>5.0000000000000001E-3</v>
      </c>
      <c r="L20" s="20">
        <f>$L$42</f>
        <v>1.2E-2</v>
      </c>
      <c r="M20" s="20">
        <f>$L$42</f>
        <v>1.2E-2</v>
      </c>
      <c r="N20" s="19">
        <v>0</v>
      </c>
      <c r="O20" s="20">
        <v>0</v>
      </c>
      <c r="P20" s="19">
        <f>IDF!$C$3/(('5-Foot'!J20+IDF!$D$3)^IDF!$E$3)</f>
        <v>3.4086018635787716</v>
      </c>
      <c r="Q20" s="19">
        <v>0.43</v>
      </c>
      <c r="R20" s="19">
        <f t="shared" ref="R20" si="4">S20-Q20</f>
        <v>1.1838043428561236</v>
      </c>
      <c r="S20" s="19">
        <f>F20*P20*G20+R18</f>
        <v>1.6138043428561235</v>
      </c>
      <c r="T20" s="19">
        <f t="shared" si="2"/>
        <v>0.15832295365281226</v>
      </c>
      <c r="U20" s="19">
        <f>T20/M20</f>
        <v>13.193579471067688</v>
      </c>
      <c r="V20" s="7"/>
      <c r="W20" s="26">
        <f t="shared" si="0"/>
        <v>0.26645113572998735</v>
      </c>
      <c r="X20" s="24"/>
      <c r="Y20" s="25">
        <f>((S20*0.015)/(0.56*(1/M20)*(K20^(1/2))))^(3/8)</f>
        <v>0.15832295365281226</v>
      </c>
      <c r="Z20" s="25">
        <f>3*D20*(T20^1.5)</f>
        <v>0.94494620280269803</v>
      </c>
      <c r="AA20" s="25">
        <f>Z20/(D20*T20)</f>
        <v>1.1936945098622636</v>
      </c>
      <c r="AB20" s="27">
        <f t="shared" si="3"/>
        <v>0.54319350426338131</v>
      </c>
    </row>
    <row r="21" spans="1:28" x14ac:dyDescent="0.2">
      <c r="A21" s="28"/>
      <c r="B21" s="28"/>
      <c r="C21" s="28"/>
      <c r="D21" s="6"/>
      <c r="E21" s="19"/>
      <c r="F21" s="19"/>
      <c r="G21" s="19"/>
      <c r="H21" s="6"/>
      <c r="I21" s="6"/>
      <c r="J21" s="6"/>
      <c r="K21" s="20"/>
      <c r="L21" s="20"/>
      <c r="M21" s="20"/>
      <c r="N21" s="6"/>
      <c r="O21" s="6"/>
      <c r="P21" s="6"/>
      <c r="Q21" s="6"/>
      <c r="R21" s="6"/>
      <c r="S21" s="6"/>
      <c r="T21" s="19"/>
      <c r="U21" s="6"/>
      <c r="V21" s="7"/>
      <c r="W21" s="26"/>
      <c r="X21" s="24"/>
      <c r="Y21" s="25"/>
      <c r="Z21" s="25"/>
      <c r="AA21" s="25"/>
      <c r="AB21" s="27"/>
    </row>
    <row r="22" spans="1:28" x14ac:dyDescent="0.2">
      <c r="A22" s="28" t="s">
        <v>74</v>
      </c>
      <c r="B22" s="28"/>
      <c r="C22" s="28"/>
      <c r="D22" s="6">
        <f>$D$42</f>
        <v>5</v>
      </c>
      <c r="E22" s="19">
        <v>204</v>
      </c>
      <c r="F22" s="19">
        <v>0.9</v>
      </c>
      <c r="G22" s="19">
        <v>0.23569999999999999</v>
      </c>
      <c r="H22" s="19">
        <f>'[1]ODOT ToC (DA5-DA9)-Truck Park'!$G$34</f>
        <v>10</v>
      </c>
      <c r="I22" s="19">
        <f>E22/($I$42*60)</f>
        <v>2.3776223776223775</v>
      </c>
      <c r="J22" s="19">
        <f>H22+I22</f>
        <v>12.377622377622377</v>
      </c>
      <c r="K22" s="20">
        <f>$K$42</f>
        <v>5.0000000000000001E-3</v>
      </c>
      <c r="L22" s="20">
        <f>$L$42</f>
        <v>1.2E-2</v>
      </c>
      <c r="M22" s="20">
        <f>$L$42</f>
        <v>1.2E-2</v>
      </c>
      <c r="N22" s="19">
        <v>0</v>
      </c>
      <c r="O22" s="20">
        <v>0</v>
      </c>
      <c r="P22" s="19">
        <f>IDF!$C$3/(('5-Foot'!J22+IDF!$D$3)^IDF!$E$3)</f>
        <v>3.3270277160593289</v>
      </c>
      <c r="Q22" s="19">
        <v>0.46</v>
      </c>
      <c r="R22" s="19">
        <f t="shared" ref="R22" si="5">S22-Q22</f>
        <v>1.4295667322637891</v>
      </c>
      <c r="S22" s="19">
        <f>F22*P22*G22+R20</f>
        <v>1.889566732263789</v>
      </c>
      <c r="T22" s="19">
        <f t="shared" si="2"/>
        <v>0.16797151576378777</v>
      </c>
      <c r="U22" s="19">
        <f>T22/M22</f>
        <v>13.997626313648981</v>
      </c>
      <c r="V22" s="7"/>
      <c r="W22" s="26">
        <f t="shared" si="0"/>
        <v>0.2434420505746831</v>
      </c>
      <c r="X22" s="24"/>
      <c r="Y22" s="25">
        <f>((S22*0.015)/(0.56*(1/M22)*(K22^(1/2))))^(3/8)</f>
        <v>0.16797151576378777</v>
      </c>
      <c r="Z22" s="25">
        <f>3*D22*(T22^1.5)</f>
        <v>1.0326299594342387</v>
      </c>
      <c r="AA22" s="25">
        <f>Z22/(D22*T22)</f>
        <v>1.2295298458655199</v>
      </c>
      <c r="AB22" s="27">
        <f t="shared" si="3"/>
        <v>0.54771191163968691</v>
      </c>
    </row>
    <row r="23" spans="1:28" x14ac:dyDescent="0.2">
      <c r="A23" s="28"/>
      <c r="B23" s="28"/>
      <c r="C23" s="28"/>
      <c r="D23" s="6"/>
      <c r="E23" s="19"/>
      <c r="F23" s="19"/>
      <c r="G23" s="19"/>
      <c r="H23" s="6"/>
      <c r="I23" s="6"/>
      <c r="J23" s="6"/>
      <c r="K23" s="20"/>
      <c r="L23" s="20"/>
      <c r="M23" s="20"/>
      <c r="N23" s="6"/>
      <c r="O23" s="6"/>
      <c r="P23" s="6"/>
      <c r="Q23" s="6"/>
      <c r="R23" s="6"/>
      <c r="S23" s="6"/>
      <c r="T23" s="19"/>
      <c r="U23" s="6"/>
      <c r="V23" s="7"/>
      <c r="W23" s="26"/>
      <c r="X23" s="24"/>
      <c r="Y23" s="25"/>
      <c r="Z23" s="25"/>
      <c r="AA23" s="25"/>
      <c r="AB23" s="27"/>
    </row>
    <row r="24" spans="1:28" x14ac:dyDescent="0.2">
      <c r="A24" s="28" t="s">
        <v>75</v>
      </c>
      <c r="B24" s="28"/>
      <c r="C24" s="28"/>
      <c r="D24" s="6">
        <f>$D$42</f>
        <v>5</v>
      </c>
      <c r="E24" s="19">
        <v>255</v>
      </c>
      <c r="F24" s="19">
        <v>0.9</v>
      </c>
      <c r="G24" s="19">
        <v>0.23569999999999999</v>
      </c>
      <c r="H24" s="19">
        <f>'[1]ODOT ToC (DA5-DA9)-Truck Park'!$G$34</f>
        <v>10</v>
      </c>
      <c r="I24" s="19">
        <f>E24/($I$42*60)</f>
        <v>2.9720279720279721</v>
      </c>
      <c r="J24" s="19">
        <f>H24+I24</f>
        <v>12.972027972027972</v>
      </c>
      <c r="K24" s="20">
        <f>$K$42</f>
        <v>5.0000000000000001E-3</v>
      </c>
      <c r="L24" s="20">
        <f>$L$42</f>
        <v>1.2E-2</v>
      </c>
      <c r="M24" s="20">
        <f>$L$42</f>
        <v>1.2E-2</v>
      </c>
      <c r="N24" s="19">
        <v>0</v>
      </c>
      <c r="O24" s="20">
        <v>0</v>
      </c>
      <c r="P24" s="19">
        <f>IDF!$C$3/(('5-Foot'!J24+IDF!$D$3)^IDF!$E$3)</f>
        <v>3.249563974956458</v>
      </c>
      <c r="Q24" s="19">
        <v>0.49</v>
      </c>
      <c r="R24" s="19">
        <f t="shared" ref="R24" si="6">S24-Q24</f>
        <v>1.6288967382713027</v>
      </c>
      <c r="S24" s="19">
        <f>F24*P24*G24+R22</f>
        <v>2.1188967382713026</v>
      </c>
      <c r="T24" s="19">
        <f t="shared" si="2"/>
        <v>0.17534402666755622</v>
      </c>
      <c r="U24" s="19">
        <f>T24/M24</f>
        <v>14.612002222296351</v>
      </c>
      <c r="V24" s="7"/>
      <c r="W24" s="26">
        <f t="shared" si="0"/>
        <v>0.23125242072899005</v>
      </c>
      <c r="X24" s="24"/>
      <c r="Y24" s="25">
        <f>((S24*0.015)/(0.56*(1/M24)*(K24^(1/2))))^(3/8)</f>
        <v>0.17534402666755622</v>
      </c>
      <c r="Z24" s="25">
        <f>3*D24*(T24^1.5)</f>
        <v>1.1013560010446584</v>
      </c>
      <c r="AA24" s="25">
        <f>Z24/(D24*T24)</f>
        <v>1.2562230056833086</v>
      </c>
      <c r="AB24" s="27">
        <f t="shared" si="3"/>
        <v>0.5589012746114429</v>
      </c>
    </row>
    <row r="25" spans="1:28" x14ac:dyDescent="0.2">
      <c r="A25" s="28"/>
      <c r="B25" s="28"/>
      <c r="C25" s="28"/>
      <c r="D25" s="6"/>
      <c r="E25" s="19"/>
      <c r="F25" s="19"/>
      <c r="G25" s="19"/>
      <c r="H25" s="6"/>
      <c r="I25" s="6"/>
      <c r="J25" s="6"/>
      <c r="K25" s="20"/>
      <c r="L25" s="20"/>
      <c r="M25" s="20"/>
      <c r="N25" s="6"/>
      <c r="O25" s="6"/>
      <c r="P25" s="6"/>
      <c r="Q25" s="6"/>
      <c r="R25" s="6"/>
      <c r="S25" s="6"/>
      <c r="T25" s="19"/>
      <c r="U25" s="6"/>
      <c r="V25" s="7"/>
      <c r="W25" s="26"/>
      <c r="X25" s="24"/>
      <c r="Y25" s="25"/>
      <c r="Z25" s="25"/>
      <c r="AA25" s="25"/>
      <c r="AB25" s="27"/>
    </row>
    <row r="26" spans="1:28" x14ac:dyDescent="0.2">
      <c r="A26" s="28" t="s">
        <v>76</v>
      </c>
      <c r="B26" s="28"/>
      <c r="C26" s="28"/>
      <c r="D26" s="6">
        <f>$D$42</f>
        <v>5</v>
      </c>
      <c r="E26" s="19">
        <v>306</v>
      </c>
      <c r="F26" s="19">
        <v>0.9</v>
      </c>
      <c r="G26" s="19">
        <v>0.23569999999999999</v>
      </c>
      <c r="H26" s="19">
        <f>'[1]ODOT ToC (DA5-DA9)-Truck Park'!$G$34</f>
        <v>10</v>
      </c>
      <c r="I26" s="19">
        <f>E26/($I$42*60)</f>
        <v>3.5664335664335667</v>
      </c>
      <c r="J26" s="19">
        <f>H26+I26</f>
        <v>13.566433566433567</v>
      </c>
      <c r="K26" s="20">
        <f>$K$42</f>
        <v>5.0000000000000001E-3</v>
      </c>
      <c r="L26" s="20">
        <f>$L$42</f>
        <v>1.2E-2</v>
      </c>
      <c r="M26" s="20">
        <f>$L$42</f>
        <v>1.2E-2</v>
      </c>
      <c r="N26" s="19">
        <v>0</v>
      </c>
      <c r="O26" s="20">
        <v>0</v>
      </c>
      <c r="P26" s="19">
        <f>IDF!$C$3/(('5-Foot'!J26+IDF!$D$3)^IDF!$E$3)</f>
        <v>3.1759005127051512</v>
      </c>
      <c r="Q26" s="19">
        <v>0.5</v>
      </c>
      <c r="R26" s="19">
        <f t="shared" ref="R26" si="7">S26-Q26</f>
        <v>1.8026005140314463</v>
      </c>
      <c r="S26" s="19">
        <f>F26*P26*G26+R24</f>
        <v>2.3026005140314463</v>
      </c>
      <c r="T26" s="19">
        <f t="shared" si="2"/>
        <v>0.18089717197841271</v>
      </c>
      <c r="U26" s="19">
        <f>T26/M26</f>
        <v>15.074764331534391</v>
      </c>
      <c r="V26" s="7"/>
      <c r="W26" s="26">
        <f t="shared" si="0"/>
        <v>0.21714578666734874</v>
      </c>
      <c r="X26" s="24"/>
      <c r="Y26" s="25">
        <f>((S26*0.015)/(0.56*(1/M26)*(K26^(1/2))))^(3/8)</f>
        <v>0.18089717197841271</v>
      </c>
      <c r="Z26" s="25">
        <f>3*D26*(T26^1.5)</f>
        <v>1.1540879997361202</v>
      </c>
      <c r="AA26" s="25">
        <f>Z26/(D26*T26)</f>
        <v>1.2759602453860837</v>
      </c>
      <c r="AB26" s="27">
        <f t="shared" si="3"/>
        <v>0.55280023953018709</v>
      </c>
    </row>
    <row r="27" spans="1:28" x14ac:dyDescent="0.2">
      <c r="A27" s="28"/>
      <c r="B27" s="28"/>
      <c r="C27" s="28"/>
      <c r="D27" s="6"/>
      <c r="E27" s="19"/>
      <c r="F27" s="19"/>
      <c r="G27" s="19"/>
      <c r="H27" s="6"/>
      <c r="I27" s="6"/>
      <c r="J27" s="6"/>
      <c r="K27" s="20"/>
      <c r="L27" s="20"/>
      <c r="M27" s="20"/>
      <c r="N27" s="6"/>
      <c r="O27" s="6"/>
      <c r="P27" s="6"/>
      <c r="Q27" s="6"/>
      <c r="R27" s="6"/>
      <c r="S27" s="6"/>
      <c r="T27" s="19"/>
      <c r="U27" s="6"/>
      <c r="V27" s="7"/>
      <c r="W27" s="26"/>
      <c r="X27" s="24"/>
      <c r="Y27" s="25"/>
      <c r="Z27" s="25"/>
      <c r="AA27" s="25"/>
      <c r="AB27" s="27"/>
    </row>
    <row r="28" spans="1:28" x14ac:dyDescent="0.2">
      <c r="A28" s="28" t="s">
        <v>77</v>
      </c>
      <c r="B28" s="28"/>
      <c r="C28" s="28"/>
      <c r="D28" s="6">
        <f>$D$42</f>
        <v>5</v>
      </c>
      <c r="E28" s="19">
        <v>357</v>
      </c>
      <c r="F28" s="19">
        <v>0.9</v>
      </c>
      <c r="G28" s="19">
        <v>0.23569999999999999</v>
      </c>
      <c r="H28" s="19">
        <f>'[1]ODOT ToC (DA5-DA9)-Truck Park'!$G$34</f>
        <v>10</v>
      </c>
      <c r="I28" s="19">
        <f>E28/($I$42*60)</f>
        <v>4.1608391608391608</v>
      </c>
      <c r="J28" s="19">
        <f>H28+I28</f>
        <v>14.16083916083916</v>
      </c>
      <c r="K28" s="20">
        <f>$K$42</f>
        <v>5.0000000000000001E-3</v>
      </c>
      <c r="L28" s="20">
        <f>$L$42</f>
        <v>1.2E-2</v>
      </c>
      <c r="M28" s="20">
        <f>$L$42</f>
        <v>1.2E-2</v>
      </c>
      <c r="N28" s="19">
        <v>0</v>
      </c>
      <c r="O28" s="20">
        <v>0</v>
      </c>
      <c r="P28" s="19">
        <f>IDF!$C$3/(('5-Foot'!J28+IDF!$D$3)^IDF!$E$3)</f>
        <v>3.1057579731578464</v>
      </c>
      <c r="Q28" s="19">
        <v>0.51</v>
      </c>
      <c r="R28" s="19">
        <f t="shared" ref="R28" si="8">S28-Q28</f>
        <v>1.9514249528774201</v>
      </c>
      <c r="S28" s="19">
        <f>F28*P28*G28+R26</f>
        <v>2.4614249528774201</v>
      </c>
      <c r="T28" s="19">
        <f t="shared" si="2"/>
        <v>0.18547901380949444</v>
      </c>
      <c r="U28" s="19">
        <f>T28/M28</f>
        <v>15.456584484124537</v>
      </c>
      <c r="V28" s="7"/>
      <c r="W28" s="26">
        <f t="shared" si="0"/>
        <v>0.2071970544557156</v>
      </c>
      <c r="X28" s="24"/>
      <c r="Y28" s="25">
        <f>((S28*0.015)/(0.56*(1/M28)*(K28^(1/2))))^(3/8)</f>
        <v>0.18547901380949444</v>
      </c>
      <c r="Z28" s="25">
        <f>3*D28*(T28^1.5)</f>
        <v>1.1982113419498615</v>
      </c>
      <c r="AA28" s="25">
        <f>Z28/(D28*T28)</f>
        <v>1.2920182368238649</v>
      </c>
      <c r="AB28" s="27">
        <f t="shared" si="3"/>
        <v>0.54992744410838978</v>
      </c>
    </row>
    <row r="29" spans="1:28" x14ac:dyDescent="0.2">
      <c r="A29" s="28"/>
      <c r="B29" s="28"/>
      <c r="C29" s="28"/>
      <c r="D29" s="6"/>
      <c r="E29" s="19"/>
      <c r="F29" s="19"/>
      <c r="G29" s="19"/>
      <c r="H29" s="6"/>
      <c r="I29" s="6"/>
      <c r="J29" s="6"/>
      <c r="K29" s="20"/>
      <c r="L29" s="20"/>
      <c r="M29" s="20"/>
      <c r="N29" s="6"/>
      <c r="O29" s="6"/>
      <c r="P29" s="6"/>
      <c r="Q29" s="6"/>
      <c r="R29" s="6"/>
      <c r="S29" s="6"/>
      <c r="T29" s="19"/>
      <c r="U29" s="6"/>
      <c r="V29" s="7"/>
      <c r="W29" s="26"/>
      <c r="X29" s="24"/>
      <c r="Y29" s="25"/>
      <c r="Z29" s="25"/>
      <c r="AA29" s="25"/>
      <c r="AB29" s="27"/>
    </row>
    <row r="30" spans="1:28" x14ac:dyDescent="0.2">
      <c r="A30" s="28" t="s">
        <v>78</v>
      </c>
      <c r="B30" s="28"/>
      <c r="C30" s="28"/>
      <c r="D30" s="6">
        <f>$D$42</f>
        <v>5</v>
      </c>
      <c r="E30" s="19">
        <v>425</v>
      </c>
      <c r="F30" s="19">
        <v>0.9</v>
      </c>
      <c r="G30" s="19">
        <v>0.45450000000000002</v>
      </c>
      <c r="H30" s="19">
        <f>'[1]ODOT ToC (DA 10)-Truck Parking'!$G$34</f>
        <v>10</v>
      </c>
      <c r="I30" s="19">
        <f>E30/($I$42*60)</f>
        <v>4.9533799533799536</v>
      </c>
      <c r="J30" s="19">
        <f>H30+I30</f>
        <v>14.953379953379955</v>
      </c>
      <c r="K30" s="20">
        <f>$K$42</f>
        <v>5.0000000000000001E-3</v>
      </c>
      <c r="L30" s="20">
        <f>$L$42</f>
        <v>1.2E-2</v>
      </c>
      <c r="M30" s="20">
        <f>$L$42</f>
        <v>1.2E-2</v>
      </c>
      <c r="N30" s="19">
        <v>0</v>
      </c>
      <c r="O30" s="20">
        <v>0</v>
      </c>
      <c r="P30" s="19">
        <f>IDF!$C$3/(('5-Foot'!J30+IDF!$D$3)^IDF!$E$3)</f>
        <v>3.0172789321945945</v>
      </c>
      <c r="Q30" s="19" t="s">
        <v>59</v>
      </c>
      <c r="R30" s="19" t="s">
        <v>59</v>
      </c>
      <c r="S30" s="19">
        <f>F30*P30*G30+R28</f>
        <v>3.1856429000916191</v>
      </c>
      <c r="T30" s="19">
        <f t="shared" si="2"/>
        <v>0.20431427583298425</v>
      </c>
      <c r="U30" s="19">
        <f>T30/M30</f>
        <v>17.026189652748688</v>
      </c>
      <c r="V30" s="21" t="s">
        <v>49</v>
      </c>
      <c r="W30" s="24"/>
      <c r="X30" s="24"/>
      <c r="Y30" s="25">
        <f>((S30*0.015)/(0.56*(1/M30)*(K30^(1/2))))^(3/8)</f>
        <v>0.20431427583298425</v>
      </c>
      <c r="Z30" s="25">
        <f>3*D30*(T30^1.5)</f>
        <v>1.3852856265355082</v>
      </c>
      <c r="AA30" s="25">
        <f>Z30/(D30*T30)</f>
        <v>1.3560341007868717</v>
      </c>
      <c r="AB30" s="27">
        <f>S30/(T30*D30)</f>
        <v>3.118375245296817</v>
      </c>
    </row>
    <row r="31" spans="1:28" x14ac:dyDescent="0.2">
      <c r="A31" s="28"/>
      <c r="B31" s="28"/>
      <c r="C31" s="28"/>
      <c r="D31" s="6"/>
      <c r="E31" s="6"/>
      <c r="F31" s="6"/>
      <c r="G31" s="6"/>
      <c r="H31" s="6"/>
      <c r="I31" s="6"/>
      <c r="J31" s="6"/>
      <c r="K31" s="20"/>
      <c r="L31" s="20"/>
      <c r="M31" s="20"/>
      <c r="N31" s="6"/>
      <c r="O31" s="6"/>
      <c r="P31" s="6"/>
      <c r="Q31" s="6"/>
      <c r="R31" s="6"/>
      <c r="S31" s="6"/>
      <c r="T31" s="6"/>
      <c r="U31" s="6"/>
      <c r="V31" s="7"/>
      <c r="Y31" s="24"/>
    </row>
    <row r="32" spans="1:28" hidden="1" x14ac:dyDescent="0.2">
      <c r="A32" s="28" t="s">
        <v>8</v>
      </c>
      <c r="B32" s="28"/>
      <c r="C32" s="28"/>
      <c r="D32" s="6" t="s">
        <v>48</v>
      </c>
      <c r="E32" s="6"/>
      <c r="F32" s="6"/>
      <c r="G32" s="6"/>
      <c r="H32" s="6"/>
      <c r="I32" s="6"/>
      <c r="J32" s="6"/>
      <c r="K32" s="20"/>
      <c r="L32" s="20"/>
      <c r="M32" s="20"/>
      <c r="N32" s="6"/>
      <c r="O32" s="6"/>
      <c r="P32" s="6"/>
      <c r="Q32" s="6"/>
      <c r="R32" s="6"/>
      <c r="S32" s="6"/>
      <c r="T32" s="6"/>
      <c r="U32" s="6"/>
      <c r="V32" s="7"/>
    </row>
    <row r="33" spans="1:22" hidden="1" x14ac:dyDescent="0.2">
      <c r="A33" s="28"/>
      <c r="B33" s="28"/>
      <c r="C33" s="28"/>
      <c r="D33" s="6"/>
      <c r="E33" s="6"/>
      <c r="F33" s="6"/>
      <c r="G33" s="6"/>
      <c r="H33" s="6"/>
      <c r="I33" s="6"/>
      <c r="J33" s="6"/>
      <c r="K33" s="20"/>
      <c r="L33" s="20"/>
      <c r="M33" s="20"/>
      <c r="N33" s="6"/>
      <c r="O33" s="6"/>
      <c r="P33" s="6"/>
      <c r="Q33" s="6"/>
      <c r="R33" s="6"/>
      <c r="S33" s="6"/>
      <c r="T33" s="6"/>
      <c r="U33" s="6"/>
      <c r="V33" s="7"/>
    </row>
    <row r="34" spans="1:22" hidden="1" x14ac:dyDescent="0.2">
      <c r="A34" s="28" t="s">
        <v>42</v>
      </c>
      <c r="B34" s="28"/>
      <c r="C34" s="28"/>
      <c r="D34" s="6">
        <f>$D$42</f>
        <v>5</v>
      </c>
      <c r="E34" s="19">
        <v>85</v>
      </c>
      <c r="F34" s="19">
        <v>0.9</v>
      </c>
      <c r="G34" s="6">
        <v>0.11</v>
      </c>
      <c r="H34" s="19">
        <v>15</v>
      </c>
      <c r="I34" s="19">
        <f>E34/($I$42*60)</f>
        <v>0.99067599067599066</v>
      </c>
      <c r="J34" s="19">
        <f>H34+I34</f>
        <v>15.990675990675991</v>
      </c>
      <c r="K34" s="20">
        <f>$K$42</f>
        <v>5.0000000000000001E-3</v>
      </c>
      <c r="L34" s="20">
        <f>$L$42</f>
        <v>1.2E-2</v>
      </c>
      <c r="M34" s="20">
        <f>$L$42</f>
        <v>1.2E-2</v>
      </c>
      <c r="N34" s="19">
        <v>0</v>
      </c>
      <c r="O34" s="20">
        <v>0</v>
      </c>
      <c r="P34" s="19">
        <f>IDF!$C$3/(('5-Foot'!J34+IDF!$D$3)^IDF!$E$3)</f>
        <v>2.9093785943371784</v>
      </c>
      <c r="Q34" s="19" t="s">
        <v>59</v>
      </c>
      <c r="R34" s="19" t="s">
        <v>59</v>
      </c>
      <c r="S34" s="19">
        <f>F34*P34*G34</f>
        <v>0.28802848083938065</v>
      </c>
      <c r="T34" s="19">
        <f>0.86/12</f>
        <v>7.166666666666667E-2</v>
      </c>
      <c r="U34" s="19">
        <v>5.99</v>
      </c>
      <c r="V34" s="21" t="s">
        <v>49</v>
      </c>
    </row>
    <row r="35" spans="1:22" x14ac:dyDescent="0.2">
      <c r="A35" s="28"/>
      <c r="B35" s="28"/>
      <c r="C35" s="28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7"/>
    </row>
    <row r="39" spans="1:22" x14ac:dyDescent="0.2">
      <c r="R39" s="4"/>
    </row>
    <row r="42" spans="1:22" x14ac:dyDescent="0.2">
      <c r="D42" s="3">
        <v>5</v>
      </c>
      <c r="E42" s="3" t="s">
        <v>35</v>
      </c>
      <c r="H42" s="3" t="s">
        <v>36</v>
      </c>
      <c r="I42" s="3">
        <v>1.43</v>
      </c>
      <c r="K42" s="3">
        <v>5.0000000000000001E-3</v>
      </c>
      <c r="L42" s="3">
        <v>1.2E-2</v>
      </c>
      <c r="M42" s="3">
        <v>1.2E-2</v>
      </c>
      <c r="R42" s="3" t="s">
        <v>43</v>
      </c>
    </row>
  </sheetData>
  <mergeCells count="47">
    <mergeCell ref="K3:L3"/>
    <mergeCell ref="E3:F3"/>
    <mergeCell ref="A1:U1"/>
    <mergeCell ref="B3:C3"/>
    <mergeCell ref="A9:C10"/>
    <mergeCell ref="D9:D10"/>
    <mergeCell ref="E9:E10"/>
    <mergeCell ref="F9:G9"/>
    <mergeCell ref="H9:H10"/>
    <mergeCell ref="I9:I10"/>
    <mergeCell ref="J9:J10"/>
    <mergeCell ref="K9:K10"/>
    <mergeCell ref="L9:L10"/>
    <mergeCell ref="M9:M10"/>
    <mergeCell ref="U9:U10"/>
    <mergeCell ref="R9:R10"/>
    <mergeCell ref="S9:S10"/>
    <mergeCell ref="T9:T10"/>
    <mergeCell ref="A11:C11"/>
    <mergeCell ref="P9:P10"/>
    <mergeCell ref="Q9:Q10"/>
    <mergeCell ref="A16:C16"/>
    <mergeCell ref="N9:N10"/>
    <mergeCell ref="O9:O10"/>
    <mergeCell ref="A13:C13"/>
    <mergeCell ref="A14:C14"/>
    <mergeCell ref="A15:C15"/>
    <mergeCell ref="A12:C12"/>
    <mergeCell ref="A17:C17"/>
    <mergeCell ref="A19:C19"/>
    <mergeCell ref="A20:C20"/>
    <mergeCell ref="A21:C21"/>
    <mergeCell ref="A22:C22"/>
    <mergeCell ref="A28:C28"/>
    <mergeCell ref="A29:C29"/>
    <mergeCell ref="A18:C18"/>
    <mergeCell ref="A35:C35"/>
    <mergeCell ref="A30:C30"/>
    <mergeCell ref="A31:C31"/>
    <mergeCell ref="A32:C32"/>
    <mergeCell ref="A33:C33"/>
    <mergeCell ref="A34:C34"/>
    <mergeCell ref="A23:C23"/>
    <mergeCell ref="A24:C24"/>
    <mergeCell ref="A25:C25"/>
    <mergeCell ref="A26:C26"/>
    <mergeCell ref="A27:C27"/>
  </mergeCells>
  <printOptions horizontalCentered="1"/>
  <pageMargins left="0.25" right="0.25" top="0.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D443E1-C6A6-4B8F-A863-03A220820CEA}">
  <dimension ref="A2:E26"/>
  <sheetViews>
    <sheetView workbookViewId="0">
      <selection activeCell="P13" sqref="P13"/>
    </sheetView>
  </sheetViews>
  <sheetFormatPr defaultRowHeight="15" x14ac:dyDescent="0.25"/>
  <cols>
    <col min="1" max="16384" width="9.140625" style="1"/>
  </cols>
  <sheetData>
    <row r="2" spans="1:5" x14ac:dyDescent="0.25">
      <c r="A2" s="1" t="s">
        <v>32</v>
      </c>
      <c r="B2" s="1" t="s">
        <v>31</v>
      </c>
      <c r="C2" s="1" t="s">
        <v>28</v>
      </c>
      <c r="D2" s="1" t="s">
        <v>29</v>
      </c>
      <c r="E2" s="1" t="s">
        <v>30</v>
      </c>
    </row>
    <row r="3" spans="1:5" x14ac:dyDescent="0.25">
      <c r="A3" s="1" t="s">
        <v>24</v>
      </c>
      <c r="B3" s="1">
        <v>2</v>
      </c>
      <c r="C3" s="1">
        <v>46.183999999999997</v>
      </c>
      <c r="D3" s="2">
        <v>9</v>
      </c>
      <c r="E3" s="1">
        <v>0.85899999999999999</v>
      </c>
    </row>
    <row r="4" spans="1:5" x14ac:dyDescent="0.25">
      <c r="A4" s="1" t="s">
        <v>24</v>
      </c>
      <c r="B4" s="1">
        <v>5</v>
      </c>
      <c r="C4" s="1">
        <v>56.984999999999999</v>
      </c>
      <c r="D4" s="2">
        <v>10.25</v>
      </c>
      <c r="E4" s="1">
        <v>0.85099999999999998</v>
      </c>
    </row>
    <row r="5" spans="1:5" x14ac:dyDescent="0.25">
      <c r="A5" s="1" t="s">
        <v>24</v>
      </c>
      <c r="B5" s="1">
        <v>10</v>
      </c>
      <c r="C5" s="1">
        <v>64.167000000000002</v>
      </c>
      <c r="D5" s="2">
        <v>11</v>
      </c>
      <c r="E5" s="1">
        <v>0.84199999999999997</v>
      </c>
    </row>
    <row r="6" spans="1:5" x14ac:dyDescent="0.25">
      <c r="A6" s="1" t="s">
        <v>24</v>
      </c>
      <c r="B6" s="1">
        <v>25</v>
      </c>
      <c r="C6" s="1">
        <v>66.528000000000006</v>
      </c>
      <c r="D6" s="2">
        <v>11</v>
      </c>
      <c r="E6" s="1">
        <v>0.81100000000000005</v>
      </c>
    </row>
    <row r="7" spans="1:5" x14ac:dyDescent="0.25">
      <c r="A7" s="1" t="s">
        <v>24</v>
      </c>
      <c r="B7" s="1">
        <v>50</v>
      </c>
      <c r="C7" s="1">
        <v>65.701999999999998</v>
      </c>
      <c r="D7" s="2">
        <v>10.75</v>
      </c>
      <c r="E7" s="1">
        <v>0.78200000000000003</v>
      </c>
    </row>
    <row r="8" spans="1:5" x14ac:dyDescent="0.25">
      <c r="A8" s="1" t="s">
        <v>24</v>
      </c>
      <c r="B8" s="1">
        <v>100</v>
      </c>
      <c r="C8" s="1">
        <v>64.489000000000004</v>
      </c>
      <c r="D8" s="2">
        <v>10.5</v>
      </c>
      <c r="E8" s="1">
        <v>0.754</v>
      </c>
    </row>
    <row r="9" spans="1:5" x14ac:dyDescent="0.25">
      <c r="A9" s="1" t="s">
        <v>25</v>
      </c>
      <c r="B9" s="1">
        <v>2</v>
      </c>
      <c r="C9" s="1">
        <v>47.987000000000002</v>
      </c>
      <c r="D9" s="2">
        <v>9</v>
      </c>
      <c r="E9" s="1">
        <v>0.85899999999999999</v>
      </c>
    </row>
    <row r="10" spans="1:5" x14ac:dyDescent="0.25">
      <c r="A10" s="1" t="s">
        <v>25</v>
      </c>
      <c r="B10" s="1">
        <v>5</v>
      </c>
      <c r="C10" s="1">
        <v>60.683999999999997</v>
      </c>
      <c r="D10" s="2">
        <v>10.5</v>
      </c>
      <c r="E10" s="1">
        <v>0.85799999999999998</v>
      </c>
    </row>
    <row r="11" spans="1:5" x14ac:dyDescent="0.25">
      <c r="A11" s="1" t="s">
        <v>25</v>
      </c>
      <c r="B11" s="1">
        <v>10</v>
      </c>
      <c r="C11" s="1">
        <v>73.126000000000005</v>
      </c>
      <c r="D11" s="2">
        <v>12</v>
      </c>
      <c r="E11" s="1">
        <v>0.86299999999999999</v>
      </c>
    </row>
    <row r="12" spans="1:5" x14ac:dyDescent="0.25">
      <c r="A12" s="1" t="s">
        <v>25</v>
      </c>
      <c r="B12" s="1">
        <v>25</v>
      </c>
      <c r="C12" s="1">
        <v>75.840999999999994</v>
      </c>
      <c r="D12" s="2">
        <v>12</v>
      </c>
      <c r="E12" s="1">
        <v>0.83299999999999996</v>
      </c>
    </row>
    <row r="13" spans="1:5" x14ac:dyDescent="0.25">
      <c r="A13" s="1" t="s">
        <v>25</v>
      </c>
      <c r="B13" s="1">
        <v>50</v>
      </c>
      <c r="C13" s="1">
        <v>65.620999999999995</v>
      </c>
      <c r="D13" s="2">
        <v>10</v>
      </c>
      <c r="E13" s="1">
        <v>0.78100000000000003</v>
      </c>
    </row>
    <row r="14" spans="1:5" x14ac:dyDescent="0.25">
      <c r="A14" s="1" t="s">
        <v>25</v>
      </c>
      <c r="B14" s="1">
        <v>100</v>
      </c>
      <c r="C14" s="1">
        <v>85.046999999999997</v>
      </c>
      <c r="D14" s="2">
        <v>13.25</v>
      </c>
      <c r="E14" s="1">
        <v>0.80600000000000005</v>
      </c>
    </row>
    <row r="15" spans="1:5" x14ac:dyDescent="0.25">
      <c r="A15" s="1" t="s">
        <v>26</v>
      </c>
      <c r="B15" s="1">
        <v>2</v>
      </c>
    </row>
    <row r="16" spans="1:5" x14ac:dyDescent="0.25">
      <c r="A16" s="1" t="s">
        <v>26</v>
      </c>
      <c r="B16" s="1">
        <v>5</v>
      </c>
    </row>
    <row r="17" spans="1:2" x14ac:dyDescent="0.25">
      <c r="A17" s="1" t="s">
        <v>26</v>
      </c>
      <c r="B17" s="1">
        <v>10</v>
      </c>
    </row>
    <row r="18" spans="1:2" x14ac:dyDescent="0.25">
      <c r="A18" s="1" t="s">
        <v>26</v>
      </c>
      <c r="B18" s="1">
        <v>25</v>
      </c>
    </row>
    <row r="19" spans="1:2" x14ac:dyDescent="0.25">
      <c r="A19" s="1" t="s">
        <v>26</v>
      </c>
      <c r="B19" s="1">
        <v>50</v>
      </c>
    </row>
    <row r="20" spans="1:2" x14ac:dyDescent="0.25">
      <c r="A20" s="1" t="s">
        <v>26</v>
      </c>
      <c r="B20" s="1">
        <v>100</v>
      </c>
    </row>
    <row r="21" spans="1:2" x14ac:dyDescent="0.25">
      <c r="A21" s="1" t="s">
        <v>27</v>
      </c>
      <c r="B21" s="1">
        <v>2</v>
      </c>
    </row>
    <row r="22" spans="1:2" x14ac:dyDescent="0.25">
      <c r="A22" s="1" t="s">
        <v>27</v>
      </c>
      <c r="B22" s="1">
        <v>5</v>
      </c>
    </row>
    <row r="23" spans="1:2" x14ac:dyDescent="0.25">
      <c r="A23" s="1" t="s">
        <v>27</v>
      </c>
      <c r="B23" s="1">
        <v>10</v>
      </c>
    </row>
    <row r="24" spans="1:2" x14ac:dyDescent="0.25">
      <c r="A24" s="1" t="s">
        <v>27</v>
      </c>
      <c r="B24" s="1">
        <v>25</v>
      </c>
    </row>
    <row r="25" spans="1:2" x14ac:dyDescent="0.25">
      <c r="A25" s="1" t="s">
        <v>27</v>
      </c>
      <c r="B25" s="1">
        <v>50</v>
      </c>
    </row>
    <row r="26" spans="1:2" x14ac:dyDescent="0.25">
      <c r="A26" s="1" t="s">
        <v>27</v>
      </c>
      <c r="B26" s="1">
        <v>100</v>
      </c>
    </row>
  </sheetData>
  <pageMargins left="0.7" right="0.7" top="0.75" bottom="0.75" header="0.3" footer="0.3"/>
  <pageSetup paperSize="256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3-Foot</vt:lpstr>
      <vt:lpstr>5-Foot</vt:lpstr>
      <vt:lpstr>IDF</vt:lpstr>
      <vt:lpstr>'3-Foot'!Print_Area</vt:lpstr>
      <vt:lpstr>'5-Foot'!Print_Area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Quick</dc:creator>
  <cp:lastModifiedBy>Kendall Gindling (STONE)</cp:lastModifiedBy>
  <cp:lastPrinted>2025-09-30T16:06:17Z</cp:lastPrinted>
  <dcterms:created xsi:type="dcterms:W3CDTF">2025-09-05T17:20:34Z</dcterms:created>
  <dcterms:modified xsi:type="dcterms:W3CDTF">2025-12-01T15:11:02Z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